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670" tabRatio="760" firstSheet="0" activeTab="0"/>
  </bookViews>
  <sheets>
    <sheet name="Toetsing" sheetId="1" r:id="rId1"/>
    <sheet name="Golven" sheetId="2" r:id="rId2"/>
    <sheet name="Algemeen" sheetId="3" r:id="rId3"/>
    <sheet name="ReststerkteKleilaag" sheetId="4" state="hidden" r:id="rId4"/>
    <sheet name="Bermfactor" sheetId="5" state="hidden" r:id="rId5"/>
    <sheet name="Steentoets 3.3" sheetId="6" r:id="rId6"/>
    <sheet name="Afwijkingen tov TR-S" sheetId="7" r:id="rId7"/>
    <sheet name="Blad1" sheetId="8" r:id="rId8"/>
    <sheet name="Blad2" sheetId="9" r:id="rId9"/>
    <sheet name="Blad3" sheetId="10" r:id="rId10"/>
  </sheets>
  <definedNames>
    <definedName name="_Regression_Int" localSheetId="0" hidden="1">1</definedName>
    <definedName name="Afschuiving_Score">'Toetsing'!$BJ1</definedName>
    <definedName name="Beheerdersoordeel">'Toetsing'!$CF1</definedName>
    <definedName name="Bekleding_AanlegJaar">'Toetsing'!$E1</definedName>
    <definedName name="Bekleding_AfstandHouders_Ervaring">'Toetsing'!$AY1</definedName>
    <definedName name="Bekleding_AlsBermJN">'Toetsing'!$CK1</definedName>
    <definedName name="Bekleding_Berm_NiveauVoorrand">'Toetsing'!$CM1</definedName>
    <definedName name="Bekleding_Berm_NiveauVoorrand_invoer">'Toetsing'!$N1</definedName>
    <definedName name="Bekleding_Berm_OnderTalud">'Toetsing'!$CL1</definedName>
    <definedName name="Bekleding_Bermbreedte">'Toetsing'!$O1</definedName>
    <definedName name="Bekleding_BovensteFilerlaag_D15">'Toetsing'!$AE1</definedName>
    <definedName name="Bekleding_BovensteFilterlaag_b">'Toetsing'!$CY1</definedName>
    <definedName name="Bekleding_BovensteFilterlaag_b_Invoer">'Toetsing'!$AD1</definedName>
    <definedName name="Bekleding_BovensteFilterlaag_D15">'Toetsing'!$AE1</definedName>
    <definedName name="Bekleding_BovensteFilterlaag_D50">'Toetsing'!$DA1</definedName>
    <definedName name="Bekleding_BovensteFilterlaag_D50_Invoer">'Toetsing'!$AF1</definedName>
    <definedName name="Bekleding_BovensteFilterlaag_Porositeit">'Toetsing'!$CZ1</definedName>
    <definedName name="Bekleding_BovensteFilterlaag_Porositeit_Invoer">'Toetsing'!$AG1</definedName>
    <definedName name="Bekleding_BovensteFilterlaag_Slib">'Toetsing'!$AH1</definedName>
    <definedName name="Bekleding_BovensteFilterlaag_SlibJNO">'Toetsing'!$AH1</definedName>
    <definedName name="Bekleding_BovensteOvergangsconstructie">'Toetsing'!$AV1</definedName>
    <definedName name="Bekleding_GeoTextiel1_O90">'Toetsing'!$CW1</definedName>
    <definedName name="Bekleding_GeoTextiel1_O90_Invoer">'Toetsing'!$DL1</definedName>
    <definedName name="Bekleding_Geotextiel2_Aanwezig">'Toetsing'!$DJ1</definedName>
    <definedName name="Bekleding_Geotextiel2_AanwezigJN">'Toetsing'!$DJ1</definedName>
    <definedName name="Bekleding_Geotextiel2_O90">'Toetsing'!$DI1</definedName>
    <definedName name="Bekleding_Geotextiel2_O90_Invoer">'Toetsing'!$AM1</definedName>
    <definedName name="Bekleding_HellingBerm">'Toetsing'!$DS1</definedName>
    <definedName name="Bekleding_HellingBovenTalud">'Toetsing'!$CN1</definedName>
    <definedName name="Bekleding_HellingBovenTalud_Invoer">'Toetsing'!$Q1</definedName>
    <definedName name="Bekleding_HellingOnderTalud_Invoer">'Toetsing'!$M1</definedName>
    <definedName name="Bekleding_Hellingtalud_Invoer">'Toetsing'!$L1</definedName>
    <definedName name="Bekleding_Klei_b">'Toetsing'!$AO1</definedName>
    <definedName name="Bekleding_Klei_D50">'Toetsing'!$AQ1</definedName>
    <definedName name="Bekleding_Klei_D90">'Toetsing'!$AR1</definedName>
    <definedName name="Bekleding_Klei_Kwaliteit">'Toetsing'!$AP1</definedName>
    <definedName name="Bekleding_Ondergrond_D15">'Toetsing'!$DH1</definedName>
    <definedName name="Bekleding_Ondergrond_D15_Invoer">'Toetsing'!$AS1</definedName>
    <definedName name="Bekleding_Ondergrond_D50">'Toetsing'!$DG1</definedName>
    <definedName name="Bekleding_Ondergrond_D50_Invoer">'Toetsing'!$AT1</definedName>
    <definedName name="Bekleding_Ondergrond_D90">'Toetsing'!$DF1</definedName>
    <definedName name="Bekleding_Ondergrond_D90_Invoer">'Toetsing'!$AU1</definedName>
    <definedName name="Bekleding_RuimteToplaagFilterJNO">'Toetsing'!$AZ1</definedName>
    <definedName name="Bekleding_SchadeInJaar">'Toetsing'!$F1</definedName>
    <definedName name="Bekleding_Toplaag_AsfaltJN">'Toetsing'!$CX1</definedName>
    <definedName name="Bekleding_Toplaag_B">'Toetsing'!$CQ1</definedName>
    <definedName name="Bekleding_Toplaag_B_Invoer">'Toetsing'!$S1</definedName>
    <definedName name="Bekleding_Toplaag_D">'Toetsing'!$R1</definedName>
    <definedName name="Bekleding_Toplaag_Delta">'Toetsing'!$CV1</definedName>
    <definedName name="Bekleding_Toplaag_GoedGeklemdJNO">'Toetsing'!$AB1</definedName>
    <definedName name="Bekleding_Toplaag_Inklemfactor">'Toetsing'!$EA1</definedName>
    <definedName name="Bekleding_Toplaag_InwasJN">'Toetsing'!$Y1</definedName>
    <definedName name="Bekleding_Toplaag_Inwasmateriaal_D15">'Toetsing'!$Z1</definedName>
    <definedName name="Bekleding_Toplaag_Inwasmateriaal_Porositeit">'Toetsing'!$AA1</definedName>
    <definedName name="Bekleding_Toplaag_Karakt_Opening">'Toetsing'!$W1</definedName>
    <definedName name="Bekleding_Toplaag_L">'Toetsing'!$CR1</definedName>
    <definedName name="Bekleding_Toplaag_L_Invoer">'Toetsing'!$T1</definedName>
    <definedName name="Bekleding_Toplaag_Lengte">'Toetsing'!$CR1</definedName>
    <definedName name="Bekleding_Toplaag_OpenOpp_Relatief">'Toetsing'!$CT1</definedName>
    <definedName name="Bekleding_Toplaag_OpenOpp_Relatief_Invoer">'Toetsing'!$V1</definedName>
    <definedName name="Bekleding_Toplaag_SlibJN">'Toetsing'!$AC1</definedName>
    <definedName name="Bekleding_Toplaag_SMassa">'Toetsing'!$CU1</definedName>
    <definedName name="Bekleding_Toplaag_SMassa_Invoer">'Toetsing'!$X1</definedName>
    <definedName name="Bekleding_Toplaag_Spleet_Invoer">'Toetsing'!$U1</definedName>
    <definedName name="Bekleding_Toplaag_Spleetbreedte">'Toetsing'!$CS1</definedName>
    <definedName name="Bekleding_Toplaag_Spleetbreedte_Invoer">'Toetsing'!$U1</definedName>
    <definedName name="Bekleding_TweedeFilterlaag_Aanwezig">'Toetsing'!$DB1</definedName>
    <definedName name="Bekleding_TweedeFilterlaag_b">'Toetsing'!$DC1</definedName>
    <definedName name="Bekleding_TweedeFilterlaag_b_Invoer">'Toetsing'!$AI1</definedName>
    <definedName name="Bekleding_TweedeFilterlaag_D15">'Toetsing'!$AJ1</definedName>
    <definedName name="Bekleding_TweedeFilterlaag_D50">'Toetsing'!$DE1</definedName>
    <definedName name="Bekleding_TweedeFilterlaag_D50_Invoer">'Toetsing'!$AK1</definedName>
    <definedName name="Bekleding_TweedeFilterlaag_Porositeit">'Toetsing'!$DD1</definedName>
    <definedName name="Bekleding_TweedeFilterlaag_Porositeit_Invoer">'Toetsing'!$AL1</definedName>
    <definedName name="Bekleding_Type_Filters">'Toetsing'!$CP1</definedName>
    <definedName name="Bekleding_Type_Filters_Invoer">'Toetsing'!$K1</definedName>
    <definedName name="Bekleding_Type_Toplaag">'Toetsing'!$J1</definedName>
    <definedName name="Bermfactor_Bermbreedte">'Bermfactor'!$11:$11</definedName>
    <definedName name="Bermfactor_dBHs">'Bermfactor'!$A:$A</definedName>
    <definedName name="BermHelling">'Toetsing'!$P1</definedName>
    <definedName name="Beta_Naam">'Golven'!$H$7</definedName>
    <definedName name="Bovenste_OvergangsConstructie_Score">'Toetsing'!$BZ1</definedName>
    <definedName name="Code">'Algemeen'!$B:$B</definedName>
    <definedName name="Col1">'Toetsing'!$C$1</definedName>
    <definedName name="Cw_Onvoldoende">'Toetsing'!$DV1</definedName>
    <definedName name="DijkorientatieTovN">'Toetsing'!$G1</definedName>
    <definedName name="DijkvakNaam">'Toetsing'!$B1</definedName>
    <definedName name="DikteKleilaag">'ReststerkteKleilaag'!$B:$B</definedName>
    <definedName name="Eindscore">'Toetsing'!$CD1</definedName>
    <definedName name="Fictieve_Onder_Berm_Boven">'Toetsing'!$DT1</definedName>
    <definedName name="FictieveTaludHelling">'Toetsing'!$DR1</definedName>
    <definedName name="FilterLaagTypes">'Algemeen'!$B$84:$B$92</definedName>
    <definedName name="FilterLaagTypesPororsiteiten">'Algemeen'!$D$84:$D$92</definedName>
    <definedName name="Formulas">'Toetsing'!$3:$3</definedName>
    <definedName name="Golfoploop">'Toetsing'!$DW1</definedName>
    <definedName name="Golfrichting_tot_1">'Golven'!$M:$M</definedName>
    <definedName name="Golfrichting_tot_2">'Golven'!$U:$U</definedName>
    <definedName name="Golfrichting_tot_3">'Golven'!$AC:$AC</definedName>
    <definedName name="Golfrichting_van_1">'Golven'!$L:$L</definedName>
    <definedName name="Golfrichting_van_2">'Golven'!$T:$T</definedName>
    <definedName name="Golfrichting_van_3">'Golven'!$AB:$AB</definedName>
    <definedName name="Golven_GHW">'Golven'!$D:$D</definedName>
    <definedName name="Golven_HoogteBovenNAP_1">'Golven'!$F$12:$K$12</definedName>
    <definedName name="Golven_HoogteBovenNAP_2">'Golven'!$N$12:$S$12</definedName>
    <definedName name="Golven_HoogteBovenNAP_3">'Golven'!$V$12:$AA$12</definedName>
    <definedName name="Golven_Hs_Min">'Golven'!$AD:$AD</definedName>
    <definedName name="Golven_SubVakgrenzen_Tot">'Golven'!$C:$C</definedName>
    <definedName name="Golven_SubVakgrenzen_Van">'Golven'!$B:$B</definedName>
    <definedName name="Golven_Toetspeil2000">'Golven'!$E:$E</definedName>
    <definedName name="h_hoog">'Toetsing'!$I1</definedName>
    <definedName name="h_laag">'Toetsing'!$H1</definedName>
    <definedName name="Hoek_Naam">'Golven'!$H$7</definedName>
    <definedName name="hoogte1">'Golven'!$G$10</definedName>
    <definedName name="hoogte2">'Golven'!$I$10</definedName>
    <definedName name="hoogte3">'Golven'!$K$10</definedName>
    <definedName name="Hs">'ReststerkteKleilaag'!$3:$3</definedName>
    <definedName name="Hs_Naam">'Golven'!$H$5</definedName>
    <definedName name="HsDeltaD_verh">'Toetsing'!$BN1</definedName>
    <definedName name="InvloedsfactorBerm">'Toetsing'!$DP1</definedName>
    <definedName name="InvloedsfactorBerm2">'Toetsing'!$DQ1</definedName>
    <definedName name="InvloedsfactorStrijkgolven">'Algemeen'!$D$3</definedName>
    <definedName name="Kar_opening_mm">'Algemeen'!$G:$G</definedName>
    <definedName name="Klei_Dijkopbouw">'Toetsing'!$AN1</definedName>
    <definedName name="Klemfactor">'Algemeen'!$H:$H</definedName>
    <definedName name="Kolom1">'Toetsing'!$C:$C</definedName>
    <definedName name="Kop">'Toetsing'!$A$7:$EG$7</definedName>
    <definedName name="Kopie_BermHelling">'Toetsing'!#REF!</definedName>
    <definedName name="MatTransp_Ervaring">'Toetsing'!$AW1</definedName>
    <definedName name="Mattransp_Filterlaag_D15">'Toetsing'!$DN1</definedName>
    <definedName name="MatTransp_Filterlaag_D50">'Toetsing'!$DO1</definedName>
    <definedName name="MatTransp_Geotextiel_O90">'Toetsing'!$DM1</definedName>
    <definedName name="MatTransp_Score">'Toetsing'!$BK1</definedName>
    <definedName name="MatTransp_UitFilter_Ervaring">'Toetsing'!$AX1</definedName>
    <definedName name="MatTransp_UitFilter_Score">'Toetsing'!$BL1</definedName>
    <definedName name="MaximaalToelaatbareLangsstroming">'Toetsing'!$CE1</definedName>
    <definedName name="MinimaleDikteFilterlaag">'Algemeen'!$D$5</definedName>
    <definedName name="Names">'Toetsing'!$1:$2</definedName>
    <definedName name="Onder_Berm_Boven">'Toetsing'!$DS1</definedName>
    <definedName name="Opmerkingen">'Toetsing'!$BA1</definedName>
    <definedName name="_xlnm.Print_Area" localSheetId="6">'Afwijkingen tov TR-S'!$A$1:$C$33</definedName>
    <definedName name="_xlnm.Print_Area" localSheetId="2">'Algemeen'!$A$1:$N$149</definedName>
    <definedName name="_xlnm.Print_Area" localSheetId="1">'Golven'!$A$1:$AD$32</definedName>
    <definedName name="_xlnm.Print_Area" localSheetId="5">'Steentoets 3.3'!$A$1:$AW$49</definedName>
    <definedName name="_xlnm.Print_Area" localSheetId="0">'Toetsing'!$A$4:$EG$20</definedName>
    <definedName name="_xlnm.Print_Titles" localSheetId="0">'Toetsing'!$A:$B,'Toetsing'!$4:$7</definedName>
    <definedName name="RekenDikte">'Toetsing'!$DU1</definedName>
    <definedName name="Reststerkte_Filterlaag">'Toetsing'!$CA1</definedName>
    <definedName name="Reststerkte_Kleilaag">'Toetsing'!$CB1</definedName>
    <definedName name="Reststerkte_Score">'Toetsing'!$CC1</definedName>
    <definedName name="ReststerkteMeetellenJN">'Algemeen'!$D$4</definedName>
    <definedName name="SMassa">'Algemeen'!$D:$D</definedName>
    <definedName name="StabToplaag_InvloedsfactorBerm">'Toetsing'!$DP1</definedName>
    <definedName name="StabToplaag_Score">'Toetsing'!$BY1</definedName>
    <definedName name="StabToplaag_ToetG_F">'Toetsing'!$BT1</definedName>
    <definedName name="StabToplaag_ToetG_Score">'Toetsing'!$BV1</definedName>
    <definedName name="StabToplaag_ToetsE_gt_verh">'Toetsing'!$BQ1</definedName>
    <definedName name="StabToplaag_ToetsE_kwan_gt_verh">'Toetsing'!$BQ1</definedName>
    <definedName name="StabToplaag_ToetsE_kwan_to_verh">'Toetsing'!$BR1</definedName>
    <definedName name="StabToplaag_ToetsE_score">'Toetsing'!$BS1</definedName>
    <definedName name="StabToplaag_ToetsE_to_verh">'Toetsing'!$BR1</definedName>
    <definedName name="StabToplaag_ToetsE_type">'Toetsing'!$BP1</definedName>
    <definedName name="StabToplaag_ToetsG_BelastingEnSterkte_Verh_1">'Toetsing'!$EC1</definedName>
    <definedName name="StabToplaag_ToetsG_BelastingEnSterkte_Verh_2">'Toetsing'!$ED1</definedName>
    <definedName name="StabToplaag_ToetsG_BelastingEnSterkte_Verh_3">'Toetsing'!$EE1</definedName>
    <definedName name="StabToplaag_ToetsG_BelastingEnSterkte_Verh_4">'Toetsing'!$EF1</definedName>
    <definedName name="StabToplaag_ToetsG_BelastingEnSterkte_Verh1">'Toetsing'!$EC1</definedName>
    <definedName name="StabToplaag_ToetsG_BelastingEnSterkte_Verh2">'Toetsing'!$ED1</definedName>
    <definedName name="StabToplaag_ToetsG_factor">'Toetsing'!$EG1</definedName>
    <definedName name="StabToplaag_ToetsG_Klemfactor_GoedTwijfel">'Toetsing'!$BW1</definedName>
    <definedName name="StabToplaag_ToetsG_Klemfactor_TwijfelOnvoldoende">'Toetsing'!$BX1</definedName>
    <definedName name="StabToplaag_ToetsG_Score">'Toetsing'!$BV1</definedName>
    <definedName name="SubVakgrenzen_Tot">'Toetsing'!$D1</definedName>
    <definedName name="SubVakgrenzen_Van">'Toetsing'!$C1</definedName>
    <definedName name="test">'Toetsing'!$CQ$7</definedName>
    <definedName name="Tp_Naam">'Golven'!$H$6</definedName>
    <definedName name="VolgNr">'Toetsing'!$A1</definedName>
    <definedName name="Water_Beta">'Toetsing'!$BI1</definedName>
    <definedName name="Water_GHW">'Toetsing'!$BD1</definedName>
    <definedName name="Water_Hs">'Toetsing'!$BG1</definedName>
    <definedName name="Water_MaatgevendeWaterstand">'Toetsing'!$BF1</definedName>
    <definedName name="Water_SoortelijkeMassa">'Algemeen'!$D$2</definedName>
    <definedName name="Water_Stormduur">'Toetsing'!$DK1</definedName>
    <definedName name="Water_Stormduur_Invoer">'Toetsing'!$BB1</definedName>
    <definedName name="Water_TabelIndex">'Toetsing'!$BC1</definedName>
    <definedName name="Water_Toetspeil2000">'Toetsing'!$BE1</definedName>
    <definedName name="Water_Tp">'Toetsing'!$BH1</definedName>
    <definedName name="Water_XsiOp">'Toetsing'!$BO1</definedName>
    <definedName name="ZeeMeer">'Algemeen'!$D$6</definedName>
  </definedNames>
  <calcPr fullCalcOnLoad="1"/>
</workbook>
</file>

<file path=xl/sharedStrings.xml><?xml version="1.0" encoding="utf-8"?>
<sst xmlns="http://schemas.openxmlformats.org/spreadsheetml/2006/main" count="1153" uniqueCount="563">
  <si>
    <t>Toonnamen</t>
  </si>
  <si>
    <t xml:space="preserve"> </t>
  </si>
  <si>
    <t>ja</t>
  </si>
  <si>
    <r>
      <t xml:space="preserve">STEENTOETS versie 3.32, </t>
    </r>
    <r>
      <rPr>
        <sz val="8"/>
        <rFont val="Helv"/>
        <family val="0"/>
      </rPr>
      <t>WL / Delft Hydraulics, aug. 2002</t>
    </r>
  </si>
  <si>
    <t>aanleg-</t>
  </si>
  <si>
    <t>schade</t>
  </si>
  <si>
    <t>dijkorien-</t>
  </si>
  <si>
    <t>niveau</t>
  </si>
  <si>
    <t>type</t>
  </si>
  <si>
    <t>helling</t>
  </si>
  <si>
    <t>als bekleding op berm ligt:</t>
  </si>
  <si>
    <t>TOPLAAG</t>
  </si>
  <si>
    <t>BOVENSTE FILTERLAAG</t>
  </si>
  <si>
    <t>TWEEDE FILTERLAAG</t>
  </si>
  <si>
    <t>GEOTEXTIEL</t>
  </si>
  <si>
    <t>KLEI</t>
  </si>
  <si>
    <t xml:space="preserve">               ZAND</t>
  </si>
  <si>
    <t>ERVARING</t>
  </si>
  <si>
    <t>Opmerkingen</t>
  </si>
  <si>
    <t xml:space="preserve">GOLFCONDITIES EN WATERSTANDEN </t>
  </si>
  <si>
    <t xml:space="preserve">                       STABILITEIT TOPLAAG</t>
  </si>
  <si>
    <t>EINDSCORE</t>
  </si>
  <si>
    <t>BEHEERDERS-</t>
  </si>
  <si>
    <t>Verschil tussen</t>
  </si>
  <si>
    <t>TOELICHTING</t>
  </si>
  <si>
    <t>EINDOORDEEL</t>
  </si>
  <si>
    <t>Als Berm</t>
  </si>
  <si>
    <t>checktype</t>
  </si>
  <si>
    <t>Toplaag</t>
  </si>
  <si>
    <t>1ste filter</t>
  </si>
  <si>
    <t>2defilter</t>
  </si>
  <si>
    <t>zand</t>
  </si>
  <si>
    <t>geottex2</t>
  </si>
  <si>
    <t>Water</t>
  </si>
  <si>
    <t>GEOTEXTIEL 1</t>
  </si>
  <si>
    <t>Materiaal transport</t>
  </si>
  <si>
    <t>Invloeds-</t>
  </si>
  <si>
    <t>Stab toplaag</t>
  </si>
  <si>
    <t>Volg-</t>
  </si>
  <si>
    <t>Naam van dijkvak</t>
  </si>
  <si>
    <t>Subvakgrenzen</t>
  </si>
  <si>
    <t>jaar</t>
  </si>
  <si>
    <t xml:space="preserve">in </t>
  </si>
  <si>
    <t>tatie</t>
  </si>
  <si>
    <t>onder-</t>
  </si>
  <si>
    <t>boven-</t>
  </si>
  <si>
    <t>toplaag</t>
  </si>
  <si>
    <t>onderlagen</t>
  </si>
  <si>
    <t>talud</t>
  </si>
  <si>
    <t>berm-</t>
  </si>
  <si>
    <t>D</t>
  </si>
  <si>
    <t>B</t>
  </si>
  <si>
    <t>L</t>
  </si>
  <si>
    <t>spleet</t>
  </si>
  <si>
    <t>open</t>
  </si>
  <si>
    <t>soortelijke</t>
  </si>
  <si>
    <t>inge-</t>
  </si>
  <si>
    <t>inwasmateriaal</t>
  </si>
  <si>
    <t>goed</t>
  </si>
  <si>
    <t>slib</t>
  </si>
  <si>
    <t>waterdicht</t>
  </si>
  <si>
    <t>b</t>
  </si>
  <si>
    <t>D15</t>
  </si>
  <si>
    <t>D50</t>
  </si>
  <si>
    <t>poro-</t>
  </si>
  <si>
    <t>O90</t>
  </si>
  <si>
    <t>D90</t>
  </si>
  <si>
    <t>Afschuiving</t>
  </si>
  <si>
    <t xml:space="preserve"> Materiaal-</t>
  </si>
  <si>
    <t xml:space="preserve">Ruimte tussen </t>
  </si>
  <si>
    <t>storm-</t>
  </si>
  <si>
    <t>Golven-</t>
  </si>
  <si>
    <t>GHW</t>
  </si>
  <si>
    <t>maatgevende</t>
  </si>
  <si>
    <t>Hs</t>
  </si>
  <si>
    <t>Tp</t>
  </si>
  <si>
    <t>Score</t>
  </si>
  <si>
    <t xml:space="preserve">           eenvoudige toetsing</t>
  </si>
  <si>
    <t>gedetailleerde toetsing</t>
  </si>
  <si>
    <t>filter-</t>
  </si>
  <si>
    <t>klei-</t>
  </si>
  <si>
    <t>STEENTOETS</t>
  </si>
  <si>
    <t xml:space="preserve"> OORDEEL</t>
  </si>
  <si>
    <t>Steentoets en</t>
  </si>
  <si>
    <t>ja/nee</t>
  </si>
  <si>
    <t>filter</t>
  </si>
  <si>
    <t>open opp</t>
  </si>
  <si>
    <t>S.Massa</t>
  </si>
  <si>
    <t>Delta</t>
  </si>
  <si>
    <t>asfalt</t>
  </si>
  <si>
    <t>porositeit</t>
  </si>
  <si>
    <t>Aanwezig</t>
  </si>
  <si>
    <t>kleikern</t>
  </si>
  <si>
    <t>storm</t>
  </si>
  <si>
    <t>Geotextiel</t>
  </si>
  <si>
    <t>Filterlaag</t>
  </si>
  <si>
    <t>factor</t>
  </si>
  <si>
    <t>leklengte</t>
  </si>
  <si>
    <t>At</t>
  </si>
  <si>
    <t>Bt</t>
  </si>
  <si>
    <t>klemfactor</t>
  </si>
  <si>
    <t>score</t>
  </si>
  <si>
    <t>gedetaileerde toetsing</t>
  </si>
  <si>
    <t>Anamos-</t>
  </si>
  <si>
    <t>nr.</t>
  </si>
  <si>
    <t>grens</t>
  </si>
  <si>
    <t>(filter, geotex-</t>
  </si>
  <si>
    <t>breedte</t>
  </si>
  <si>
    <t>voorrand</t>
  </si>
  <si>
    <t>oppervlak</t>
  </si>
  <si>
    <t>massa</t>
  </si>
  <si>
    <t>wassen</t>
  </si>
  <si>
    <t>n</t>
  </si>
  <si>
    <t>geklemd?</t>
  </si>
  <si>
    <t>ingegoten</t>
  </si>
  <si>
    <t>siteit</t>
  </si>
  <si>
    <t>opgetreden</t>
  </si>
  <si>
    <t xml:space="preserve"> transport</t>
  </si>
  <si>
    <t>toplaag en filter</t>
  </si>
  <si>
    <t>duur</t>
  </si>
  <si>
    <t>tabel</t>
  </si>
  <si>
    <t>2006</t>
  </si>
  <si>
    <t>waterstand</t>
  </si>
  <si>
    <t>golfinvalshoek</t>
  </si>
  <si>
    <t>kwantitatief</t>
  </si>
  <si>
    <t>Resultaat</t>
  </si>
  <si>
    <t>Benodigde klemfactor</t>
  </si>
  <si>
    <t>laag</t>
  </si>
  <si>
    <t>beheerdersoordeel?</t>
  </si>
  <si>
    <t>[m]</t>
  </si>
  <si>
    <t>[mm]</t>
  </si>
  <si>
    <t>[%]</t>
  </si>
  <si>
    <t>[kg/m3]</t>
  </si>
  <si>
    <t>[-]</t>
  </si>
  <si>
    <t xml:space="preserve"> ja/nee</t>
  </si>
  <si>
    <t>n  [-]</t>
  </si>
  <si>
    <t>berm</t>
  </si>
  <si>
    <t>Gk</t>
  </si>
  <si>
    <t>(Belasting</t>
  </si>
  <si>
    <t>van</t>
  </si>
  <si>
    <t>tot</t>
  </si>
  <si>
    <t>[gr tov N]</t>
  </si>
  <si>
    <t>[m NAP]</t>
  </si>
  <si>
    <t>tiel, klei, etc)</t>
  </si>
  <si>
    <t>tan(hoek)</t>
  </si>
  <si>
    <t xml:space="preserve"> ja/nee/?</t>
  </si>
  <si>
    <t>[uur]</t>
  </si>
  <si>
    <t xml:space="preserve"> 1/2/3</t>
  </si>
  <si>
    <t>[m+NAP]</t>
  </si>
  <si>
    <t>[s]</t>
  </si>
  <si>
    <t>[gr]</t>
  </si>
  <si>
    <t>g/t</t>
  </si>
  <si>
    <t>t/o</t>
  </si>
  <si>
    <t>Anamos</t>
  </si>
  <si>
    <t>[g / t / o]</t>
  </si>
  <si>
    <t>(m)</t>
  </si>
  <si>
    <t>/Sterkte)1</t>
  </si>
  <si>
    <t>/Sterkte)2</t>
  </si>
  <si>
    <t>/Sterkte)3</t>
  </si>
  <si>
    <t>/Sterkte)4</t>
  </si>
  <si>
    <t>(normaal = 1)</t>
  </si>
  <si>
    <t>Golfcondities en waterstanden</t>
  </si>
  <si>
    <t xml:space="preserve">Let op: De veranderingen in deze GOLVENtabel worden pas doorgerekend nadat  </t>
  </si>
  <si>
    <t>Hoogte s</t>
  </si>
  <si>
    <t>Hoek</t>
  </si>
  <si>
    <t>Beta</t>
  </si>
  <si>
    <t xml:space="preserve">  </t>
  </si>
  <si>
    <t>tabel 1</t>
  </si>
  <si>
    <t>tabel 2</t>
  </si>
  <si>
    <t>tabel 3</t>
  </si>
  <si>
    <t>Locatie</t>
  </si>
  <si>
    <t>toetspeil</t>
  </si>
  <si>
    <t>h = NAP+</t>
  </si>
  <si>
    <t xml:space="preserve">       Golfrichting </t>
  </si>
  <si>
    <t>minimum</t>
  </si>
  <si>
    <t>Hs  [m]</t>
  </si>
  <si>
    <t>Tp  [s]</t>
  </si>
  <si>
    <t xml:space="preserve">van [gr] </t>
  </si>
  <si>
    <t>tot [gr]</t>
  </si>
  <si>
    <t>HoogteBovenNAP</t>
  </si>
  <si>
    <t>Algemene waarden</t>
  </si>
  <si>
    <t>volumieke massa van water (kg/m3):</t>
  </si>
  <si>
    <t>invloedsfactor strijkgolven:</t>
  </si>
  <si>
    <t>minimale dikte filterlaag (m):</t>
  </si>
  <si>
    <t>locatie aan zee / estuarium of langs een meer (zee/meer):</t>
  </si>
  <si>
    <t>zee</t>
  </si>
  <si>
    <t xml:space="preserve">Let op: De veranderingen in deze tabel worden pas doorgerekend na het kiezen </t>
  </si>
  <si>
    <t>Type toplaag glooiing</t>
  </si>
  <si>
    <t>klem-factor</t>
  </si>
  <si>
    <t>Indeling Bekledingstype op basis van rekenregels</t>
  </si>
  <si>
    <t xml:space="preserve">    rekenmodel</t>
  </si>
  <si>
    <t>Code</t>
  </si>
  <si>
    <t>Omschrijving</t>
  </si>
  <si>
    <t>Soortelijke massa (kg/m3)</t>
  </si>
  <si>
    <t>min</t>
  </si>
  <si>
    <t>max</t>
  </si>
  <si>
    <t xml:space="preserve">Zuilen           </t>
  </si>
  <si>
    <t xml:space="preserve">blokken   </t>
  </si>
  <si>
    <t>Asfalt</t>
  </si>
  <si>
    <t>beton
platen</t>
  </si>
  <si>
    <t xml:space="preserve">ANAMOS         </t>
  </si>
  <si>
    <t>Asfaltbeton</t>
  </si>
  <si>
    <t>x</t>
  </si>
  <si>
    <t>N</t>
  </si>
  <si>
    <t>Mastiek</t>
  </si>
  <si>
    <t>Dicht steenasfalt</t>
  </si>
  <si>
    <t xml:space="preserve">Open geprefabriceerde steenasfaltmatten </t>
  </si>
  <si>
    <t>Open steenasfalt</t>
  </si>
  <si>
    <t>Zandasfalt (tijdelijk of in onderlaag)</t>
  </si>
  <si>
    <t>Breuksteen, gepenetreerd met asfalt (vol en zat)</t>
  </si>
  <si>
    <t>Baksteen/betonsteen, gepenetreerd met asfalt (vol en zat)</t>
  </si>
  <si>
    <t>Breuksteen, gepenetreerd met asfalt  (patroonpenetratie)</t>
  </si>
  <si>
    <t>Betonblokken met afgeschuinde hoeken of gaten erin</t>
  </si>
  <si>
    <t>J</t>
  </si>
  <si>
    <t>Betonblokken zonder openingen</t>
  </si>
  <si>
    <t>Diaboolblokken</t>
  </si>
  <si>
    <t>Open blokkenmatten, afgestrooid met granulair materiaal</t>
  </si>
  <si>
    <t>Blokkenmatten zonder openingen</t>
  </si>
  <si>
    <t>Betonplaten van cementbeton of gesloten colloidaal beton, (in situ gestort)</t>
  </si>
  <si>
    <t xml:space="preserve">Colloidaal beton, (open structuur) </t>
  </si>
  <si>
    <t>Betonplaten, (prefab)</t>
  </si>
  <si>
    <t>Doorgroeisteen, beton</t>
  </si>
  <si>
    <t>Breuksteen, gepenetreerd met cementbeton of colloidaal beton, (vol en zat)</t>
  </si>
  <si>
    <t>Breuksteen,  met patroonpenetratie van cementbeton of colloidaal beton</t>
  </si>
  <si>
    <t>Gras, gezaaid</t>
  </si>
  <si>
    <t>Gras, zoden of gezaaid, in kunstofmatten</t>
  </si>
  <si>
    <t>Bestorting van grof grind en andere granulaire materialen</t>
  </si>
  <si>
    <t>Grove granulaire materialen c.q. breuksteen verpakt in metaalgaas</t>
  </si>
  <si>
    <t>Fijne granulaire materialen c.q. zand/grind verpakt in geotextiel</t>
  </si>
  <si>
    <t>Breuksteen, (stortsteen)</t>
  </si>
  <si>
    <t>Basalt, gezet</t>
  </si>
  <si>
    <t>Basalt, gezet, ingegoten met gietasfalt</t>
  </si>
  <si>
    <t>Basalt, gezet, ingegoten met colloidaal beton of cementbeton</t>
  </si>
  <si>
    <t>Betonzuilen en andere niet rechthoekige blokken</t>
  </si>
  <si>
    <t>Basalton</t>
  </si>
  <si>
    <t>PIT Polygoon zuilen</t>
  </si>
  <si>
    <t>Hydroblock</t>
  </si>
  <si>
    <t>Betonzuilen of niet rechthoekige blokken, ingegoten met gietasfalt</t>
  </si>
  <si>
    <t>Basalton, ingegoten met gietasfalt</t>
  </si>
  <si>
    <t>PIT Polygoon zuilen, ingegoten met gietasfalt</t>
  </si>
  <si>
    <t>Hydroblock, ingegoten met gietasfalt</t>
  </si>
  <si>
    <t>Betonzuilen of niet rechthoekige blokken, ingegoten met beton</t>
  </si>
  <si>
    <t>Basalton, ingegoten met beton</t>
  </si>
  <si>
    <t>Natuursteen, gezet</t>
  </si>
  <si>
    <t>Vilvoordse</t>
  </si>
  <si>
    <t>Lessinische</t>
  </si>
  <si>
    <t>Doornikse</t>
  </si>
  <si>
    <t>Petit graniet</t>
  </si>
  <si>
    <t>Graniet</t>
  </si>
  <si>
    <t>Natuursteen, gezet, en ingegoten met gietasfalt</t>
  </si>
  <si>
    <t>Vilvoordse, ingegoten met gietasfalt</t>
  </si>
  <si>
    <t>Lessinische, ingegoten met gietasfalt</t>
  </si>
  <si>
    <t>Doornikse, ingegoten met gietasfalt</t>
  </si>
  <si>
    <t>Petit graniet, ingegoten met gietasfalt</t>
  </si>
  <si>
    <t>Graniet, ingegoten met gietasfalt</t>
  </si>
  <si>
    <t>Natuursteen, gezet, en ingegoten met beton</t>
  </si>
  <si>
    <t>Vilvoordse, ingegoten met beton</t>
  </si>
  <si>
    <t>Lessinische, ingegoten met beton</t>
  </si>
  <si>
    <t>Doornikse, ingegoten met beton</t>
  </si>
  <si>
    <t>Petit graniet, ingegoten met beton</t>
  </si>
  <si>
    <t>Graniet, ingegoten met beton</t>
  </si>
  <si>
    <t>Koperslakblokken</t>
  </si>
  <si>
    <t>Klei onder zand</t>
  </si>
  <si>
    <t>Bestorting van natuursteenmassa</t>
  </si>
  <si>
    <t>Klinkers, beton of gebakken.</t>
  </si>
  <si>
    <t>steenfundering, gebonden</t>
  </si>
  <si>
    <t>kade, keermuur, kistdam</t>
  </si>
  <si>
    <t>Opbouw onderlaag (meerdere items te kiezen)</t>
  </si>
  <si>
    <t>st</t>
  </si>
  <si>
    <t>Steenslag</t>
  </si>
  <si>
    <t>my</t>
  </si>
  <si>
    <t>ge</t>
  </si>
  <si>
    <t>geotextiel</t>
  </si>
  <si>
    <t>gr</t>
  </si>
  <si>
    <t>Grind</t>
  </si>
  <si>
    <t>vl</t>
  </si>
  <si>
    <t>sl</t>
  </si>
  <si>
    <t>slakken</t>
  </si>
  <si>
    <t>pu</t>
  </si>
  <si>
    <t>Puin</t>
  </si>
  <si>
    <t>kl</t>
  </si>
  <si>
    <t>Klei</t>
  </si>
  <si>
    <t>as</t>
  </si>
  <si>
    <t>zandasfalt</t>
  </si>
  <si>
    <t>Indicatie diepte ingieten</t>
  </si>
  <si>
    <t>niet ingegoten</t>
  </si>
  <si>
    <t>oppervlakkig</t>
  </si>
  <si>
    <t>volledig</t>
  </si>
  <si>
    <t>tot in de filterlaag</t>
  </si>
  <si>
    <t>tot en met filterlaag</t>
  </si>
  <si>
    <t>tot in de vlijlaag</t>
  </si>
  <si>
    <t>tot en met vlijlaag</t>
  </si>
  <si>
    <t>DikteKleilaag</t>
  </si>
  <si>
    <t>_Hs__0.5</t>
  </si>
  <si>
    <t>_Hs__1</t>
  </si>
  <si>
    <t>_Hs__1.6</t>
  </si>
  <si>
    <t>_Hs__2</t>
  </si>
  <si>
    <t>_Aa__0</t>
  </si>
  <si>
    <t>A</t>
  </si>
  <si>
    <t>beneden 1m+GHW</t>
  </si>
  <si>
    <t>_Aa__0.4</t>
  </si>
  <si>
    <t>boven 1m+GHW</t>
  </si>
  <si>
    <t>_Aa__0.7</t>
  </si>
  <si>
    <t>a</t>
  </si>
  <si>
    <t>Erosie Categorie: Weinig</t>
  </si>
  <si>
    <t>_Aa__1.0</t>
  </si>
  <si>
    <t>Erosie Categorie: Goed+Matig</t>
  </si>
  <si>
    <t>_Aa__1.2</t>
  </si>
  <si>
    <t>_Aa__100</t>
  </si>
  <si>
    <t>_Ab__0</t>
  </si>
  <si>
    <t>_Ab__0.4</t>
  </si>
  <si>
    <t>_Ab__0.7</t>
  </si>
  <si>
    <t>_Ab__1.0</t>
  </si>
  <si>
    <t>_Ab__1.2</t>
  </si>
  <si>
    <t>_Ab__100</t>
  </si>
  <si>
    <t>_Ba__0</t>
  </si>
  <si>
    <t>_Ba__0.4</t>
  </si>
  <si>
    <t>_Ba__0.7</t>
  </si>
  <si>
    <t>_Ba__1.0</t>
  </si>
  <si>
    <t>_Ba__1.2</t>
  </si>
  <si>
    <t>_Ba__100</t>
  </si>
  <si>
    <t>_Bb__0</t>
  </si>
  <si>
    <t>_Bb__0.4</t>
  </si>
  <si>
    <t>_Bb__0.7</t>
  </si>
  <si>
    <t>_Bb__1.0</t>
  </si>
  <si>
    <t>_Bb__1.2</t>
  </si>
  <si>
    <t>_Bb__100</t>
  </si>
  <si>
    <t>Hs/Lop=0.045</t>
  </si>
  <si>
    <t>Hs/Lop=0.035</t>
  </si>
  <si>
    <t>1:3</t>
  </si>
  <si>
    <t>1:4</t>
  </si>
  <si>
    <t>Bermbreedte=5</t>
  </si>
  <si>
    <t>Bermbreedte=10</t>
  </si>
  <si>
    <t>Bermbreedte</t>
  </si>
  <si>
    <t>_Aa__5</t>
  </si>
  <si>
    <t>_Aa__10</t>
  </si>
  <si>
    <t>_Ab__5</t>
  </si>
  <si>
    <t>_Ab__10</t>
  </si>
  <si>
    <t>_Ba__5</t>
  </si>
  <si>
    <t>_Ba__10</t>
  </si>
  <si>
    <t>_Bb__5</t>
  </si>
  <si>
    <t>_Bb__10</t>
  </si>
  <si>
    <t>_dB/Hs=__-2.0000</t>
  </si>
  <si>
    <t>_dB/Hs=__-1.8667</t>
  </si>
  <si>
    <t>_dB/Hs=__-1.7333</t>
  </si>
  <si>
    <t>_dB/Hs=__-1.6000</t>
  </si>
  <si>
    <t>_dB/Hs=__-1.4667</t>
  </si>
  <si>
    <t>_dB/Hs=__-1.3333</t>
  </si>
  <si>
    <t>_dB/Hs=__-1.2000</t>
  </si>
  <si>
    <t>_dB/Hs=__-1.0667</t>
  </si>
  <si>
    <t>_dB/Hs=__-0.9333</t>
  </si>
  <si>
    <t>_dB/Hs=__-0.8000</t>
  </si>
  <si>
    <t>_dB/Hs=__-0.6667</t>
  </si>
  <si>
    <t>_dB/Hs=__-0.5333</t>
  </si>
  <si>
    <t>_dB/Hs=__-0.4000</t>
  </si>
  <si>
    <t>_dB/Hs=__-0.2667</t>
  </si>
  <si>
    <t>_dB/Hs=__-0.1333</t>
  </si>
  <si>
    <t>_dB/Hs=__0.0000</t>
  </si>
  <si>
    <t>_dB/Hs=__0.1333</t>
  </si>
  <si>
    <t>_dB/Hs=__0.2667</t>
  </si>
  <si>
    <t>_dB/Hs=__0.4000</t>
  </si>
  <si>
    <t>_dB/Hs=__0.4667</t>
  </si>
  <si>
    <t>_dB/Hs=__0.5333</t>
  </si>
  <si>
    <t>_dB/Hs=__0.6000</t>
  </si>
  <si>
    <t>_dB/Hs=__0.6667</t>
  </si>
  <si>
    <t>_dB/Hs=__0.7333</t>
  </si>
  <si>
    <t>_dB/Hs=__0.8000</t>
  </si>
  <si>
    <t>_dB/Hs=__0.8667</t>
  </si>
  <si>
    <t>_dB/Hs=__0.9333</t>
  </si>
  <si>
    <t>_dB/Hs=__1.0000</t>
  </si>
  <si>
    <t>_dB/Hs=__1.0667</t>
  </si>
  <si>
    <t>_dB/Hs=__1.1333</t>
  </si>
  <si>
    <t>_dB/Hs=__1.2000</t>
  </si>
  <si>
    <t>_dB/Hs=__1.2667</t>
  </si>
  <si>
    <t>_dB/Hs=__1.3333</t>
  </si>
  <si>
    <t>_dB/Hs=__1.4000</t>
  </si>
  <si>
    <t>_dB/Hs=__1.4667</t>
  </si>
  <si>
    <t>_dB/Hs=__1.5333</t>
  </si>
  <si>
    <t>_dB/Hs=__1.6000</t>
  </si>
  <si>
    <t>_dB/Hs=__1.6667</t>
  </si>
  <si>
    <t>_dB/Hs=__1.7333</t>
  </si>
  <si>
    <t>_dB/Hs=__1.8000</t>
  </si>
  <si>
    <t>_dB/Hs=__1.8667</t>
  </si>
  <si>
    <t>_dB/Hs=__1.9333</t>
  </si>
  <si>
    <t>_dB/Hs=__2.0667</t>
  </si>
  <si>
    <t>_dB/Hs=__2.2000</t>
  </si>
  <si>
    <t>_dB/Hs=__2.3333</t>
  </si>
  <si>
    <t>_dB/Hs=__2.4667</t>
  </si>
  <si>
    <t>_dB/Hs=__2.6000</t>
  </si>
  <si>
    <t>_dB/Hs=__2.7333</t>
  </si>
  <si>
    <t>_dB/Hs=__2.8667</t>
  </si>
  <si>
    <t>_dB/Hs=__3.0000</t>
  </si>
  <si>
    <t>_dB/Hs=__3.1333</t>
  </si>
  <si>
    <t>_dB/Hs=__3.2667</t>
  </si>
  <si>
    <t>_dB/Hs=__3.4000</t>
  </si>
  <si>
    <t>_dB/Hs=__3.5333</t>
  </si>
  <si>
    <t>_dB/Hs=__3.6667</t>
  </si>
  <si>
    <t>_dB/Hs=__3.8000</t>
  </si>
  <si>
    <t>_dB/Hs=__3.9333</t>
  </si>
  <si>
    <t>_dB/Hs=__4.0667</t>
  </si>
  <si>
    <t>_dB/Hs=__4.2000</t>
  </si>
  <si>
    <t>AFSCHUIVING</t>
  </si>
  <si>
    <t>nr</t>
  </si>
  <si>
    <t>Zorg dat het werkblad 'Toetsing' vanaf regel 8 leeg is.</t>
  </si>
  <si>
    <t>Ga naar het werkblad 'Toetsing'.</t>
  </si>
  <si>
    <r>
      <t xml:space="preserve">van het menu </t>
    </r>
    <r>
      <rPr>
        <b/>
        <sz val="10"/>
        <rFont val="Helv"/>
        <family val="0"/>
      </rPr>
      <t>Toetsing</t>
    </r>
    <r>
      <rPr>
        <sz val="10"/>
        <rFont val="Helv"/>
        <family val="0"/>
      </rPr>
      <t xml:space="preserve"> 'Bereken alles opnieuw' en er daarna F9 is aangeslagen.</t>
    </r>
  </si>
  <si>
    <t>in het menu 'Toetsing ' "Bereken alles opnieuw" is gekozen en er daarna F9 is aangeslagen.</t>
  </si>
  <si>
    <t>berm/knik</t>
  </si>
  <si>
    <t>(0=geen)</t>
  </si>
  <si>
    <t>fictieve</t>
  </si>
  <si>
    <t>afstandhouders</t>
  </si>
  <si>
    <t>(TR-S: blz 117)</t>
  </si>
  <si>
    <t>g/t/o</t>
  </si>
  <si>
    <t>overgangs-</t>
  </si>
  <si>
    <t>constructie</t>
  </si>
  <si>
    <t>a/b#/c/?</t>
  </si>
  <si>
    <t>type bovenste</t>
  </si>
  <si>
    <t>Maximaal</t>
  </si>
  <si>
    <t>toelaatbare</t>
  </si>
  <si>
    <t>langsstroming</t>
  </si>
  <si>
    <t>[m/s]</t>
  </si>
  <si>
    <t>MATERIAALTRANSPORT</t>
  </si>
  <si>
    <t>vanuit</t>
  </si>
  <si>
    <t xml:space="preserve"> granulaire laag</t>
  </si>
  <si>
    <t xml:space="preserve"> door toplaag</t>
  </si>
  <si>
    <t>Plat gezette blokken met afstandhouders</t>
  </si>
  <si>
    <t>Blokken op hun kant</t>
  </si>
  <si>
    <t>Blokken op hun kant met afstandhouders</t>
  </si>
  <si>
    <t>s</t>
  </si>
  <si>
    <t>karakt.</t>
  </si>
  <si>
    <t>opening</t>
  </si>
  <si>
    <t>Karakteristieke openinggrootte (mm)</t>
  </si>
  <si>
    <t>Dijkopbouw</t>
  </si>
  <si>
    <t>zs</t>
  </si>
  <si>
    <t>kk</t>
  </si>
  <si>
    <t>kleilaag</t>
  </si>
  <si>
    <t>zandscheg</t>
  </si>
  <si>
    <t>bovenbeloop</t>
  </si>
  <si>
    <t>onderbeloop</t>
  </si>
  <si>
    <t>berm, of</t>
  </si>
  <si>
    <t>golfoploop</t>
  </si>
  <si>
    <t>z2%</t>
  </si>
  <si>
    <t>kwaliteit</t>
  </si>
  <si>
    <t>omschrijving</t>
  </si>
  <si>
    <t>status</t>
  </si>
  <si>
    <r>
      <t xml:space="preserve">Het programma </t>
    </r>
    <r>
      <rPr>
        <sz val="9.5"/>
        <rFont val="Times New Roman"/>
        <family val="1"/>
      </rPr>
      <t>STEENTOETS</t>
    </r>
    <r>
      <rPr>
        <sz val="11"/>
        <rFont val="Times New Roman"/>
        <family val="1"/>
      </rPr>
      <t xml:space="preserve"> is zo goed mogelijk overeenkomstig het Technisch Rapport Steenzettingen (2003) gemaakt. Het was echter om diverse redenen niet mogelijk of wenselijk om op alle punten exact het technisch rapport te volgen. Onderstaand zijn de verschillen toegelicht.</t>
    </r>
  </si>
  <si>
    <r>
      <t>·</t>
    </r>
    <r>
      <rPr>
        <sz val="7"/>
        <rFont val="Times New Roman"/>
        <family val="1"/>
      </rPr>
      <t xml:space="preserve">         </t>
    </r>
    <r>
      <rPr>
        <sz val="11"/>
        <rFont val="Times New Roman"/>
        <family val="1"/>
      </rPr>
      <t>de bekleding onder de knik wordt getoetst, en de knik onder SWL</t>
    </r>
    <r>
      <rPr>
        <sz val="11"/>
        <rFont val="Symbol"/>
        <family val="1"/>
      </rPr>
      <t>-</t>
    </r>
    <r>
      <rPr>
        <sz val="11"/>
        <rFont val="Times New Roman"/>
        <family val="1"/>
      </rPr>
      <t>H</t>
    </r>
    <r>
      <rPr>
        <vertAlign val="subscript"/>
        <sz val="11"/>
        <rFont val="Times New Roman"/>
        <family val="1"/>
      </rPr>
      <t>s</t>
    </r>
    <r>
      <rPr>
        <sz val="11"/>
        <rFont val="Times New Roman"/>
        <family val="1"/>
      </rPr>
      <t xml:space="preserve"> ligt,</t>
    </r>
  </si>
  <si>
    <r>
      <t>·</t>
    </r>
    <r>
      <rPr>
        <sz val="7"/>
        <rFont val="Times New Roman"/>
        <family val="1"/>
      </rPr>
      <t xml:space="preserve">         </t>
    </r>
    <r>
      <rPr>
        <sz val="11"/>
        <rFont val="Times New Roman"/>
        <family val="1"/>
      </rPr>
      <t>de bekleding boven de knik wordt getoetst, en de knik boven SWL</t>
    </r>
    <r>
      <rPr>
        <sz val="11"/>
        <rFont val="Symbol"/>
        <family val="1"/>
      </rPr>
      <t>-</t>
    </r>
    <r>
      <rPr>
        <sz val="11"/>
        <rFont val="Times New Roman"/>
        <family val="1"/>
      </rPr>
      <t>H</t>
    </r>
    <r>
      <rPr>
        <vertAlign val="subscript"/>
        <sz val="11"/>
        <rFont val="Times New Roman"/>
        <family val="1"/>
      </rPr>
      <t>s</t>
    </r>
    <r>
      <rPr>
        <sz val="11"/>
        <rFont val="Times New Roman"/>
        <family val="1"/>
      </rPr>
      <t>/2 ligt,</t>
    </r>
  </si>
  <si>
    <r>
      <t>·</t>
    </r>
    <r>
      <rPr>
        <sz val="7"/>
        <rFont val="Times New Roman"/>
        <family val="1"/>
      </rPr>
      <t xml:space="preserve">         </t>
    </r>
    <r>
      <rPr>
        <sz val="11"/>
        <rFont val="Times New Roman"/>
        <family val="1"/>
      </rPr>
      <t>de bekleding boven de stilwaterlijn ligt.</t>
    </r>
  </si>
  <si>
    <t>In de overige gevallen kan gebruik gemaakt worden van de taludhelling ter plaatse van de te toetsen steenzetting.</t>
  </si>
  <si>
    <r>
      <t xml:space="preserve">Deze methode zal naar verwachting alleen een ander resultaat geven als dit gezien de geometrie ook overduidelijk zal moeten. Voor de overige gevallen zal er een zelfde resultaat uitkomen als met </t>
    </r>
    <r>
      <rPr>
        <sz val="9.5"/>
        <rFont val="Times New Roman"/>
        <family val="1"/>
      </rPr>
      <t>Steentoets</t>
    </r>
    <r>
      <rPr>
        <sz val="11"/>
        <rFont val="Times New Roman"/>
        <family val="1"/>
      </rPr>
      <t xml:space="preserve"> 3.32.</t>
    </r>
  </si>
  <si>
    <t>Maatgevende taludhelling voor bekleding boven de waterlijn</t>
  </si>
  <si>
    <t>De tekst over de gepenetreerde bekledingen in het Technisch Rapport Steenzettingen is al weer achterhaald (zie blz. 113 van het deel Toetsing). Daarom is het beter om gepenetreerde steenzettingen altijd door te verwijzen naar de geavanceerde toetsing.</t>
  </si>
  <si>
    <t>Gepenetreerde bekledingen</t>
  </si>
  <si>
    <t>Knik in het talud zonder berm</t>
  </si>
  <si>
    <t>Voor overgangconstructies met deze eigenschappen geldt dat de leklengtesprong kleinere is dan 20%.</t>
  </si>
  <si>
    <t>Bij open overgangsconstructies kan het water via het filter vrij van de ene constructie naar de andere stromen, omdat er geen betonband of dichte palenrij is toegepast.</t>
  </si>
  <si>
    <t xml:space="preserve">Open overgangsconstructies </t>
  </si>
  <si>
    <r>
      <t>·</t>
    </r>
    <r>
      <rPr>
        <sz val="7"/>
        <rFont val="Times New Roman"/>
        <family val="1"/>
      </rPr>
      <t xml:space="preserve">         </t>
    </r>
    <r>
      <rPr>
        <sz val="11"/>
        <rFont val="Times New Roman"/>
        <family val="1"/>
      </rPr>
      <t>Type b1: Het open oppervlak van de toplaag onder en boven de overgangsconstructie zijn beide groter dan 10% (zoals Basalton, basalt en Hydroblock), èn het filtermateriaal is onder beide toplagen gelijk, èn het product van filterlaagdikte en toplaagdikte neemt van onder naar boven minder dan 40% toe (b</t>
    </r>
    <r>
      <rPr>
        <vertAlign val="subscript"/>
        <sz val="11"/>
        <rFont val="Times New Roman"/>
        <family val="1"/>
      </rPr>
      <t>boven</t>
    </r>
    <r>
      <rPr>
        <sz val="11"/>
        <rFont val="Times New Roman"/>
        <family val="1"/>
      </rPr>
      <t>D</t>
    </r>
    <r>
      <rPr>
        <vertAlign val="subscript"/>
        <sz val="11"/>
        <rFont val="Times New Roman"/>
        <family val="1"/>
      </rPr>
      <t>boven</t>
    </r>
    <r>
      <rPr>
        <sz val="11"/>
        <rFont val="Times New Roman"/>
        <family val="1"/>
      </rPr>
      <t>/b</t>
    </r>
    <r>
      <rPr>
        <vertAlign val="subscript"/>
        <sz val="11"/>
        <rFont val="Times New Roman"/>
        <family val="1"/>
      </rPr>
      <t>onder</t>
    </r>
    <r>
      <rPr>
        <sz val="11"/>
        <rFont val="Times New Roman"/>
        <family val="1"/>
      </rPr>
      <t>D</t>
    </r>
    <r>
      <rPr>
        <vertAlign val="subscript"/>
        <sz val="11"/>
        <rFont val="Times New Roman"/>
        <family val="1"/>
      </rPr>
      <t>onder</t>
    </r>
    <r>
      <rPr>
        <sz val="11"/>
        <rFont val="Times New Roman"/>
        <family val="1"/>
      </rPr>
      <t xml:space="preserve"> &lt; 1,4)</t>
    </r>
  </si>
  <si>
    <r>
      <t>·</t>
    </r>
    <r>
      <rPr>
        <sz val="7"/>
        <rFont val="Times New Roman"/>
        <family val="1"/>
      </rPr>
      <t xml:space="preserve">         </t>
    </r>
    <r>
      <rPr>
        <sz val="11"/>
        <rFont val="Times New Roman"/>
        <family val="1"/>
      </rPr>
      <t>Type b2: Rechthoekige betonblokken (op hun kant of plat) of koperslakblokken onder een overgang, en een toplaag met groter open oppervlak dan 10% (zoals Basalton, basalt en Hydroblock) erboven.</t>
    </r>
  </si>
  <si>
    <r>
      <t>·</t>
    </r>
    <r>
      <rPr>
        <sz val="7"/>
        <rFont val="Times New Roman"/>
        <family val="1"/>
      </rPr>
      <t xml:space="preserve">         </t>
    </r>
    <r>
      <rPr>
        <sz val="11"/>
        <rFont val="Times New Roman"/>
        <family val="1"/>
      </rPr>
      <t>Type b3: Ingezande/dichtgeslibde toplaag en filter onder de overgang, en een niet  ingezande/dichtgeslibde toplaag erboven, mits in de komende jaren de overgang van dichtgeslibd naar niet dichtgeslibd eerder omhoog zal verschuiven dan naar beneden.</t>
    </r>
  </si>
  <si>
    <r>
      <t xml:space="preserve">Voor de toetsing van open overgangsconstructies wordt in stap 1.3 van het Technisch Rapport Steenzettingen (paragraaf 6.1) aangegeven dat de grootte van de leklengtesprong berekend moet worden. In </t>
    </r>
    <r>
      <rPr>
        <sz val="9.5"/>
        <rFont val="Times New Roman"/>
        <family val="1"/>
      </rPr>
      <t>STEENTOETS</t>
    </r>
    <r>
      <rPr>
        <sz val="11"/>
        <rFont val="Times New Roman"/>
        <family val="1"/>
      </rPr>
      <t xml:space="preserve"> wordt dit niet gedaan, omdat het de opzet van de spreadsheet onevenredig gecompliceerd zou maken. Als alternatief wordt een  indeling op basis van enkele kenmerken van de steenzetting gebruikt. De open overgangsconstructie voldoet als:</t>
    </r>
  </si>
  <si>
    <t>gk/kl/kk/zs</t>
  </si>
  <si>
    <t>dijkopbouw</t>
  </si>
  <si>
    <t>te toetsen</t>
  </si>
  <si>
    <t>talud/berm</t>
  </si>
  <si>
    <r>
      <t>tan</t>
    </r>
    <r>
      <rPr>
        <sz val="10"/>
        <rFont val="Symbol"/>
        <family val="1"/>
      </rPr>
      <t>a</t>
    </r>
  </si>
  <si>
    <r>
      <t>tan</t>
    </r>
    <r>
      <rPr>
        <sz val="10"/>
        <rFont val="Symbol"/>
        <family val="1"/>
      </rPr>
      <t>a</t>
    </r>
    <r>
      <rPr>
        <vertAlign val="subscript"/>
        <sz val="10"/>
        <rFont val="Arial"/>
        <family val="2"/>
      </rPr>
      <t>o</t>
    </r>
  </si>
  <si>
    <r>
      <t>tan</t>
    </r>
    <r>
      <rPr>
        <sz val="10"/>
        <rFont val="Symbol"/>
        <family val="1"/>
      </rPr>
      <t>a</t>
    </r>
    <r>
      <rPr>
        <vertAlign val="subscript"/>
        <sz val="10"/>
        <rFont val="Arial"/>
        <family val="2"/>
      </rPr>
      <t>b</t>
    </r>
  </si>
  <si>
    <r>
      <t>b</t>
    </r>
    <r>
      <rPr>
        <vertAlign val="subscript"/>
        <sz val="10"/>
        <rFont val="Arial"/>
        <family val="2"/>
      </rPr>
      <t>klei</t>
    </r>
  </si>
  <si>
    <t>g/o/?</t>
  </si>
  <si>
    <r>
      <t>Hs/</t>
    </r>
    <r>
      <rPr>
        <sz val="10"/>
        <rFont val="Symbol"/>
        <family val="1"/>
      </rPr>
      <t>D</t>
    </r>
    <r>
      <rPr>
        <sz val="10"/>
        <rFont val="Arial"/>
        <family val="2"/>
      </rPr>
      <t>D</t>
    </r>
  </si>
  <si>
    <r>
      <t>x</t>
    </r>
    <r>
      <rPr>
        <sz val="10"/>
        <rFont val="Arial"/>
        <family val="2"/>
      </rPr>
      <t>op</t>
    </r>
  </si>
  <si>
    <r>
      <t>F=</t>
    </r>
    <r>
      <rPr>
        <sz val="10"/>
        <rFont val="Symbol"/>
        <family val="1"/>
      </rPr>
      <t>x</t>
    </r>
    <r>
      <rPr>
        <sz val="10"/>
        <rFont val="Arial"/>
        <family val="2"/>
      </rPr>
      <t>^</t>
    </r>
    <r>
      <rPr>
        <sz val="8"/>
        <rFont val="Arial"/>
        <family val="2"/>
      </rPr>
      <t>2/3</t>
    </r>
    <r>
      <rPr>
        <sz val="10"/>
        <rFont val="Arial"/>
        <family val="2"/>
      </rPr>
      <t xml:space="preserve"> </t>
    </r>
  </si>
  <si>
    <r>
      <t>* Hs/</t>
    </r>
    <r>
      <rPr>
        <sz val="10"/>
        <rFont val="Symbol"/>
        <family val="1"/>
      </rPr>
      <t>D</t>
    </r>
    <r>
      <rPr>
        <sz val="10"/>
        <rFont val="Arial"/>
        <family val="2"/>
      </rPr>
      <t xml:space="preserve">D </t>
    </r>
  </si>
  <si>
    <t xml:space="preserve">bovenste </t>
  </si>
  <si>
    <t>RekenDikte</t>
  </si>
  <si>
    <t>Cw Onvoldoende</t>
  </si>
  <si>
    <t>berm2</t>
  </si>
  <si>
    <t>uit granulaire laag</t>
  </si>
  <si>
    <t>ondergrond</t>
  </si>
  <si>
    <t>n.v.t.</t>
  </si>
  <si>
    <t>materiaaltransport (TR-S: blz 90)</t>
  </si>
  <si>
    <t>uit ondergrond</t>
  </si>
  <si>
    <t>Overgangsconstructies</t>
  </si>
  <si>
    <t xml:space="preserve">Afhankelijk van het type en het niveau t.o.v. de maatgevende waterstand wordt de overgangsconstructie </t>
  </si>
  <si>
    <r>
      <t>·</t>
    </r>
    <r>
      <rPr>
        <sz val="7"/>
        <rFont val="Times New Roman"/>
        <family val="1"/>
      </rPr>
      <t> </t>
    </r>
    <r>
      <rPr>
        <sz val="10"/>
        <rFont val="Arial"/>
        <family val="2"/>
      </rPr>
      <t>Type a: Smalle strook langs de overgangsconstructie is zodanig ingegoten dat alle stenen langs de overgang vast liggen (zie onderstaande figuur):</t>
    </r>
  </si>
  <si>
    <r>
      <t>·</t>
    </r>
    <r>
      <rPr>
        <sz val="7"/>
        <rFont val="Times New Roman"/>
        <family val="1"/>
      </rPr>
      <t> </t>
    </r>
    <r>
      <rPr>
        <sz val="10"/>
        <rFont val="Arial"/>
        <family val="2"/>
      </rPr>
      <t>Type b: Open overgangsconstructies (het water kan via het filter vrij van de ene constructie naar de andere stromen omdat er geen betonband of dichte palenrij is toegepast) (zie onderstaande figuur):</t>
    </r>
  </si>
  <si>
    <r>
      <t>·</t>
    </r>
    <r>
      <rPr>
        <sz val="7"/>
        <rFont val="Times New Roman"/>
        <family val="1"/>
      </rPr>
      <t> </t>
    </r>
    <r>
      <rPr>
        <sz val="10"/>
        <rFont val="Arial"/>
        <family val="2"/>
      </rPr>
      <t>Type c:  type overgangsconstructie is onbekend (?) of komt niet voor in deze lijst.</t>
    </r>
  </si>
  <si>
    <r>
      <t>·</t>
    </r>
    <r>
      <rPr>
        <sz val="7"/>
        <rFont val="Times New Roman"/>
        <family val="1"/>
      </rPr>
      <t xml:space="preserve"> </t>
    </r>
    <r>
      <rPr>
        <sz val="10"/>
        <rFont val="Arial"/>
        <family val="2"/>
      </rPr>
      <t>Type b1: Het open oppervlak van de toplaag onder en boven de overgangsconstructie zijn beide groter dan 10% (zoals Basalton, basalt en Hydroblock), èn het filtermateriaal is onder beide toplagen gelijk, èn het product van filterlaagdikte en toplaagdikte neemt van onder naar boven minder dan 40% toe (b</t>
    </r>
    <r>
      <rPr>
        <vertAlign val="subscript"/>
        <sz val="10"/>
        <rFont val="Arial"/>
        <family val="2"/>
      </rPr>
      <t>boven</t>
    </r>
    <r>
      <rPr>
        <sz val="10"/>
        <rFont val="Arial"/>
        <family val="2"/>
      </rPr>
      <t>D</t>
    </r>
    <r>
      <rPr>
        <vertAlign val="subscript"/>
        <sz val="10"/>
        <rFont val="Arial"/>
        <family val="2"/>
      </rPr>
      <t>boven</t>
    </r>
    <r>
      <rPr>
        <sz val="10"/>
        <rFont val="Arial"/>
        <family val="2"/>
      </rPr>
      <t>/b</t>
    </r>
    <r>
      <rPr>
        <vertAlign val="subscript"/>
        <sz val="10"/>
        <rFont val="Arial"/>
        <family val="2"/>
      </rPr>
      <t>onder</t>
    </r>
    <r>
      <rPr>
        <sz val="10"/>
        <rFont val="Arial"/>
        <family val="2"/>
      </rPr>
      <t>D</t>
    </r>
    <r>
      <rPr>
        <vertAlign val="subscript"/>
        <sz val="10"/>
        <rFont val="Arial"/>
        <family val="2"/>
      </rPr>
      <t>onder</t>
    </r>
    <r>
      <rPr>
        <sz val="10"/>
        <rFont val="Arial"/>
        <family val="2"/>
      </rPr>
      <t xml:space="preserve"> &lt; 1,4)</t>
    </r>
  </si>
  <si>
    <r>
      <t>·</t>
    </r>
    <r>
      <rPr>
        <sz val="7"/>
        <rFont val="Times New Roman"/>
        <family val="1"/>
      </rPr>
      <t> </t>
    </r>
    <r>
      <rPr>
        <sz val="10"/>
        <rFont val="Arial"/>
        <family val="2"/>
      </rPr>
      <t>Type b2: Rechthoekige betonblokken (op hun kant of plat) of koperslakblokken onder een overgang, en een toplaag met groter open oppervlak dan 10% (zoals Basalton, basalt en Hydroblock) erboven.</t>
    </r>
  </si>
  <si>
    <r>
      <t>·</t>
    </r>
    <r>
      <rPr>
        <sz val="7"/>
        <rFont val="Times New Roman"/>
        <family val="1"/>
      </rPr>
      <t> </t>
    </r>
    <r>
      <rPr>
        <sz val="10"/>
        <rFont val="Arial"/>
        <family val="2"/>
      </rPr>
      <t>Type b3: Ingezande/dichtgeslibde toplaag en filter onder de overgang, en een niet  ingezande/dichtgeslibde toplaag erboven, mits in de komende jaren de overgang van dichtgeslibd naar niet dichtgeslibd eerder omhoog zal verschuiven dan naar beneden.</t>
    </r>
  </si>
  <si>
    <r>
      <t>aan de bovenzijde (bij h</t>
    </r>
    <r>
      <rPr>
        <vertAlign val="subscript"/>
        <sz val="10"/>
        <rFont val="Arial"/>
        <family val="2"/>
      </rPr>
      <t>hoog</t>
    </r>
    <r>
      <rPr>
        <sz val="10"/>
        <rFont val="Arial"/>
        <family val="0"/>
      </rPr>
      <t>; kolom I) goed of twijfelachtig genoemd:</t>
    </r>
  </si>
  <si>
    <t>Dichte overgangsconstructie</t>
  </si>
  <si>
    <t>Open overgangsconstructie</t>
  </si>
  <si>
    <t>ZAND</t>
  </si>
  <si>
    <t>EROSIE ONDERLAGEN</t>
  </si>
  <si>
    <t>g/m/w</t>
  </si>
  <si>
    <t>c1/c2/c3</t>
  </si>
  <si>
    <t>Extrapolatie van bermfactor als berm zeer breed of zeer smal is.</t>
  </si>
  <si>
    <t>Als de bermbreedte breder is dan 10 m of smaller is dan 5 m, dan wordt er gerekend met een bermfactor gelijk aan die van respectievelijk 10 m of 5 m. In het TR-Steenzettingen is deze beperking aan het extrapoleren van de bermfactorformules niet opgenomen.</t>
  </si>
  <si>
    <t>Toelichting bij score  “check z2%/2”</t>
  </si>
  <si>
    <r>
      <t xml:space="preserve">Aanbevolen wordt met behulp van het programma PC-Overslag de exacte waarde van de golfoploophoogte te berekenen en te beoordelen of de steenzetting geheel boven de halve golfoploophoogte ligt. In dat geval is het toetsresultaat toch ‘goed’. Gezien het feit dat in </t>
    </r>
    <r>
      <rPr>
        <sz val="9.5"/>
        <rFont val="Times New Roman"/>
        <family val="1"/>
      </rPr>
      <t>STEENTOETS</t>
    </r>
    <r>
      <rPr>
        <sz val="11"/>
        <rFont val="Times New Roman"/>
        <family val="1"/>
      </rPr>
      <t xml:space="preserve"> slechts een schatting gegeven kan worden van de golfoploophoogte, kan er in dit geval door </t>
    </r>
    <r>
      <rPr>
        <sz val="9.5"/>
        <rFont val="Times New Roman"/>
        <family val="1"/>
      </rPr>
      <t>STEENTOETS</t>
    </r>
    <r>
      <rPr>
        <sz val="11"/>
        <rFont val="Times New Roman"/>
        <family val="1"/>
      </rPr>
      <t xml:space="preserve"> geen definitief uitsluitsel gegeven worden en wordt slechts aanbevolen dit te checken.</t>
    </r>
  </si>
  <si>
    <t>Vlijlaag (mits het minstens 2 lagen zijn en in goede staat)</t>
  </si>
  <si>
    <t>Mijnsteen (breed gegradeerd)</t>
  </si>
  <si>
    <t>Erosie onderlagen (reststerkte) meetellen (ja/nee):</t>
  </si>
  <si>
    <t>=CONCATENATE("_";Hs_Naam;"__";hoogte1)</t>
  </si>
  <si>
    <t>De waterstanden in G10, I10 en K10, waar Hs en Tp bekend zijn, kunnen in tabel 1 aangepast worden, maar moeten in tabel 2 en 3 gelijk zijn aan die in tabel 1</t>
  </si>
  <si>
    <t>bermfactor</t>
  </si>
  <si>
    <r>
      <t>C</t>
    </r>
    <r>
      <rPr>
        <vertAlign val="subscript"/>
        <sz val="10"/>
        <rFont val="Arial"/>
        <family val="2"/>
      </rPr>
      <t>berm</t>
    </r>
  </si>
  <si>
    <t>Moet nog gemeld worden aan de klankbordgroep Steenbekledingen van de Technische Adviescommissie voor de Waterkeringen, werkgroep Techniek.</t>
  </si>
  <si>
    <t xml:space="preserve">Is reeds goedgekeurd door de klankbordgroep van de Technische Adviescommissie voor de Waterkeringen, werkgroep Techniek. </t>
  </si>
  <si>
    <t>pororsiteit</t>
  </si>
  <si>
    <t>nvt</t>
  </si>
  <si>
    <t>stap 1:</t>
  </si>
  <si>
    <t>stap 2:</t>
  </si>
  <si>
    <t>stap 3:</t>
  </si>
  <si>
    <t>stap 4:</t>
  </si>
  <si>
    <t>stap 5:</t>
  </si>
  <si>
    <t>stap 6:</t>
  </si>
  <si>
    <t>Kies in menu 'Toetsing' de optie: 'Kopieer van Steentoets3.3'. Dan worden alle bruikbare gegevens uit de Steentoets 3.3 versie gekopieerd.</t>
  </si>
  <si>
    <t>Kopieer de gegevens van de werkblad 'golven'</t>
  </si>
  <si>
    <t>Voer de juiste algemene waarden in in werkblad 'algemeen'</t>
  </si>
  <si>
    <t>Kopieer de data van oude Steentoets 3.3 in dit werkblad 'Steentoets 3.3' (vanaf regel 8).</t>
  </si>
  <si>
    <t>Haringmanblokken (uitsparing verdisconteerd in soortelijke massa)</t>
  </si>
  <si>
    <r>
      <t>Als de eindscore niet ‘goed’ is, en bovendien h</t>
    </r>
    <r>
      <rPr>
        <vertAlign val="subscript"/>
        <sz val="11"/>
        <rFont val="Times New Roman"/>
        <family val="1"/>
      </rPr>
      <t>laag</t>
    </r>
    <r>
      <rPr>
        <sz val="11"/>
        <rFont val="Times New Roman"/>
        <family val="1"/>
      </rPr>
      <t xml:space="preserve"> &gt; 0,4z</t>
    </r>
    <r>
      <rPr>
        <vertAlign val="subscript"/>
        <sz val="11"/>
        <rFont val="Times New Roman"/>
        <family val="1"/>
      </rPr>
      <t>2%</t>
    </r>
    <r>
      <rPr>
        <sz val="11"/>
        <rFont val="Times New Roman"/>
        <family val="1"/>
      </rPr>
      <t xml:space="preserve"> + h, dan wordt de eindscore: “check z</t>
    </r>
    <r>
      <rPr>
        <vertAlign val="subscript"/>
        <sz val="11"/>
        <rFont val="Times New Roman"/>
        <family val="1"/>
      </rPr>
      <t>2%</t>
    </r>
    <r>
      <rPr>
        <sz val="11"/>
        <rFont val="Times New Roman"/>
        <family val="1"/>
      </rPr>
      <t>/2”. De steenzetting ligt dan zo hoog boven water dat deze wellicht boven een halve golfoploophoogte boven het toetspeil ligt. In dat geval hoeft de steenzetting niet getoetst te worden. Dit kan echter niet precies door STEENTOETS berekend worden.</t>
    </r>
  </si>
  <si>
    <t>Is reeds goedgekeurd door de klankbordgroep van de Technische Adviescommissie voor de Waterkeringen, werkgroep Techniek, en is reeds vermeld in een nieuwsbrief van de Helpdesk Waterkeren (met verwijzing naar datum of volgnummer).</t>
  </si>
  <si>
    <t>_Hs__0.2</t>
  </si>
  <si>
    <t>_Hs__0.01</t>
  </si>
  <si>
    <r>
      <t>tan</t>
    </r>
    <r>
      <rPr>
        <sz val="10"/>
        <rFont val="Symbol"/>
        <family val="1"/>
      </rPr>
      <t>a</t>
    </r>
    <r>
      <rPr>
        <vertAlign val="subscript"/>
        <sz val="10"/>
        <rFont val="Arial"/>
        <family val="2"/>
      </rPr>
      <t>berm</t>
    </r>
  </si>
  <si>
    <t>1a</t>
  </si>
  <si>
    <t>Case 1, blokken</t>
  </si>
  <si>
    <t>?</t>
  </si>
  <si>
    <t>g</t>
  </si>
  <si>
    <t>c</t>
  </si>
  <si>
    <t>Case 2, zuilen</t>
  </si>
  <si>
    <t>pu vl kl</t>
  </si>
  <si>
    <t>j</t>
  </si>
  <si>
    <t>m</t>
  </si>
  <si>
    <t>Case 3, ingegoten</t>
  </si>
  <si>
    <t>st ge kl</t>
  </si>
  <si>
    <t>dijk4</t>
  </si>
  <si>
    <t>Case 4, berm</t>
  </si>
  <si>
    <t>st ge</t>
  </si>
  <si>
    <t>gk</t>
  </si>
  <si>
    <t>Case 5, blokken op hun kant</t>
  </si>
  <si>
    <t>st my ge</t>
  </si>
  <si>
    <r>
      <t>(met C</t>
    </r>
    <r>
      <rPr>
        <vertAlign val="subscript"/>
        <sz val="8"/>
        <rFont val="Arial"/>
        <family val="2"/>
      </rPr>
      <t>berm</t>
    </r>
    <r>
      <rPr>
        <sz val="8"/>
        <rFont val="Arial"/>
        <family val="2"/>
      </rPr>
      <t xml:space="preserve"> en D</t>
    </r>
    <r>
      <rPr>
        <vertAlign val="subscript"/>
        <sz val="8"/>
        <rFont val="Arial"/>
        <family val="2"/>
      </rPr>
      <t>reken</t>
    </r>
    <r>
      <rPr>
        <sz val="8"/>
        <rFont val="Arial"/>
        <family val="2"/>
      </rPr>
      <t>)</t>
    </r>
  </si>
  <si>
    <r>
      <t>·</t>
    </r>
    <r>
      <rPr>
        <sz val="7"/>
        <rFont val="Times New Roman"/>
        <family val="1"/>
      </rPr>
      <t xml:space="preserve">         </t>
    </r>
    <r>
      <rPr>
        <sz val="11"/>
        <rFont val="Times New Roman"/>
        <family val="1"/>
      </rPr>
      <t>de knik in het talud boven SWL ligt, en de te toetsen steenzetting daarboven ligt</t>
    </r>
  </si>
  <si>
    <r>
      <t>·</t>
    </r>
    <r>
      <rPr>
        <sz val="7"/>
        <rFont val="Times New Roman"/>
        <family val="1"/>
      </rPr>
      <t xml:space="preserve">         </t>
    </r>
    <r>
      <rPr>
        <sz val="11"/>
        <rFont val="Times New Roman"/>
        <family val="1"/>
      </rPr>
      <t>de knik in het talud onder SWL</t>
    </r>
    <r>
      <rPr>
        <sz val="11"/>
        <rFont val="Symbol"/>
        <family val="1"/>
      </rPr>
      <t>-</t>
    </r>
    <r>
      <rPr>
        <sz val="11"/>
        <rFont val="Times New Roman"/>
        <family val="1"/>
      </rPr>
      <t>1,5H</t>
    </r>
    <r>
      <rPr>
        <vertAlign val="subscript"/>
        <sz val="11"/>
        <rFont val="Times New Roman"/>
        <family val="1"/>
      </rPr>
      <t>s</t>
    </r>
    <r>
      <rPr>
        <sz val="11"/>
        <rFont val="Times New Roman"/>
        <family val="1"/>
      </rPr>
      <t xml:space="preserve"> ligt, en de te toetsen steenzetting daaronder ligt</t>
    </r>
  </si>
  <si>
    <r>
      <t xml:space="preserve">Als de knik in het talud (verandering van de taludhelling) boven de stilwaterlijn ligt en de te toetsen steenzetting ligt daarboven, dan is het verstandig om te rekenen met de taludhelling onder de stilwaterlijn. Die taludhelling is bepalend voor de wijze van golfbreking, en dus ook voor de belasting. In het Technisch Rapport Steenzettingen is dit niet expliciet uitgelegd, maar zou men uit de tekst gemakkelijk kunnen concluderen dat de taludhelling boven de stilwaterlijn gehanteerd zou moeten worden (blz 78, par. 4.2.3). Dit is niet juist en daarom wordt in </t>
    </r>
    <r>
      <rPr>
        <sz val="9.5"/>
        <rFont val="Times New Roman"/>
        <family val="1"/>
      </rPr>
      <t>STEENTOETS</t>
    </r>
    <r>
      <rPr>
        <sz val="11"/>
        <rFont val="Times New Roman"/>
        <family val="1"/>
      </rPr>
      <t xml:space="preserve"> gerekend met de fictieve taludhelling.</t>
    </r>
  </si>
  <si>
    <t xml:space="preserve">Is reeds goedgekeurd door de Technische Adviescommissie voor de Waterkeringen, werkgroep Techniek. </t>
  </si>
  <si>
    <t>Ten aanzien van het omgaan met een knik in het talud is niets vermeld in het Technisch Rapport Steenzettingen. Besloten is de fictieve taludhelling aan te houden als aan een van de volgende voorwaarden wordt voldaan:</t>
  </si>
  <si>
    <t>BermHelling</t>
  </si>
  <si>
    <t>c3</t>
  </si>
  <si>
    <t>Materiaaltransport</t>
  </si>
  <si>
    <t>Afwijkingen tov Technisch Rapport Steenzettingen, TAW 2003</t>
  </si>
  <si>
    <r>
      <t xml:space="preserve">Een bekleding boven de waterlijn wordt in </t>
    </r>
    <r>
      <rPr>
        <sz val="9.5"/>
        <rFont val="Times New Roman"/>
        <family val="1"/>
      </rPr>
      <t>STEENTOETS</t>
    </r>
    <r>
      <rPr>
        <sz val="11"/>
        <rFont val="Times New Roman"/>
        <family val="1"/>
      </rPr>
      <t xml:space="preserve"> 4 getoetst met de fictieve taludhelling volgens de procedure van bijlage C (bermen) van het Technisch Rapport Steenzettingen.</t>
    </r>
  </si>
  <si>
    <t xml:space="preserve">In STEENTOETS wordt alleen een eenvoudige toetsing op materiaaltransport uitgevoerd. Als deze toetsing leidt tot het resultaat ‘twijfelachtig’ geeft STEENTOETS 4.03 aan dat de toetsing geavanceerd zou moeten worden uitgevoerd. Het Technisch Rapport Steenzettingen (deel toetsing, blz. 93) geeft echter nog de mogelijkheid een gedetailleerde toetsing uit te voeren. </t>
  </si>
  <si>
    <t>In de volgende versie van STEENTOETS zal dit verbeterd worden door hier niet ‘geavanceerd’ als resultaat te geven, maar ‘gedetailleerd’.</t>
  </si>
  <si>
    <t>Toelichting bij dijkorientatie:</t>
  </si>
  <si>
    <t>Als de dijkorientatie gelijk is aan de golfrichting, dan is er sprake van loodrechte golfaanval.</t>
  </si>
  <si>
    <r>
      <t xml:space="preserve">STEENTOETS versie 4.03, </t>
    </r>
    <r>
      <rPr>
        <sz val="8"/>
        <rFont val="Arial"/>
        <family val="2"/>
      </rPr>
      <t>WL / Delft Hydraulics, april 2005</t>
    </r>
  </si>
</sst>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f&quot;\ * #,##0_-;_-&quot;f&quot;\ * #,##0\-;_-&quot;f&quot;\ * &quot;-&quot;_-;_-@_-"/>
    <numFmt numFmtId="179" formatCode="_-&quot;f&quot;\ * #,##0.00_-;_-&quot;f&quot;\ * #,##0.00\-;_-&quot;f&quot;\ * &quot;-&quot;??_-;_-@_-"/>
    <numFmt numFmtId="180" formatCode="General_)"/>
    <numFmt numFmtId="181" formatCode="0.0"/>
    <numFmt numFmtId="182" formatCode="0.000"/>
    <numFmt numFmtId="183" formatCode="0.0000"/>
    <numFmt numFmtId="184" formatCode="\ @"/>
    <numFmt numFmtId="185" formatCode="_(* #,##0_);_(* \(#,##0\);_(* &quot;-&quot;??_);_(@_)"/>
    <numFmt numFmtId="186" formatCode="0\ "/>
    <numFmt numFmtId="187" formatCode="\ \ @"/>
    <numFmt numFmtId="188" formatCode="&quot;Yes&quot;;&quot;Yes&quot;;&quot;No&quot;"/>
    <numFmt numFmtId="189" formatCode="&quot;True&quot;;&quot;True&quot;;&quot;False&quot;"/>
    <numFmt numFmtId="190" formatCode="&quot;On&quot;;&quot;On&quot;;&quot;Off&quot;"/>
    <numFmt numFmtId="191" formatCode="[$€-2]\ #,##0.00_);[Red]\([$€-2]\ #,##0.00\)"/>
    <numFmt numFmtId="192" formatCode="#,##0.000"/>
    <numFmt numFmtId="193" formatCode="_(* #,##0.0_);_(* \(#,##0.0\);_(* &quot;-&quot;??_);_(@_)"/>
  </numFmts>
  <fonts count="29">
    <font>
      <sz val="10"/>
      <name val="Helv"/>
      <family val="0"/>
    </font>
    <font>
      <b/>
      <sz val="10"/>
      <name val="Arial"/>
      <family val="0"/>
    </font>
    <font>
      <i/>
      <sz val="10"/>
      <name val="Arial"/>
      <family val="0"/>
    </font>
    <font>
      <b/>
      <i/>
      <sz val="10"/>
      <name val="Arial"/>
      <family val="0"/>
    </font>
    <font>
      <sz val="10"/>
      <name val="Arial"/>
      <family val="0"/>
    </font>
    <font>
      <b/>
      <sz val="10"/>
      <name val="Helv"/>
      <family val="0"/>
    </font>
    <font>
      <sz val="11"/>
      <name val="Arial"/>
      <family val="0"/>
    </font>
    <font>
      <sz val="16"/>
      <name val="Univers (W1)"/>
      <family val="0"/>
    </font>
    <font>
      <sz val="8"/>
      <name val="Helv"/>
      <family val="0"/>
    </font>
    <font>
      <sz val="9"/>
      <name val="Times New Roman"/>
      <family val="1"/>
    </font>
    <font>
      <b/>
      <sz val="12"/>
      <name val="Arial"/>
      <family val="0"/>
    </font>
    <font>
      <sz val="8"/>
      <name val="Arial"/>
      <family val="2"/>
    </font>
    <font>
      <vertAlign val="subscript"/>
      <sz val="10"/>
      <name val="Arial"/>
      <family val="2"/>
    </font>
    <font>
      <sz val="10"/>
      <color indexed="10"/>
      <name val="Arial"/>
      <family val="0"/>
    </font>
    <font>
      <sz val="16"/>
      <name val="Helv"/>
      <family val="0"/>
    </font>
    <font>
      <sz val="11"/>
      <name val="Times New Roman"/>
      <family val="1"/>
    </font>
    <font>
      <sz val="9.5"/>
      <name val="Times New Roman"/>
      <family val="1"/>
    </font>
    <font>
      <sz val="7"/>
      <name val="Times New Roman"/>
      <family val="1"/>
    </font>
    <font>
      <sz val="11"/>
      <name val="Symbol"/>
      <family val="1"/>
    </font>
    <font>
      <vertAlign val="subscript"/>
      <sz val="11"/>
      <name val="Times New Roman"/>
      <family val="1"/>
    </font>
    <font>
      <b/>
      <sz val="11"/>
      <name val="Times New Roman"/>
      <family val="1"/>
    </font>
    <font>
      <sz val="12"/>
      <name val="Times New Roman"/>
      <family val="1"/>
    </font>
    <font>
      <b/>
      <sz val="12"/>
      <color indexed="56"/>
      <name val="Helv"/>
      <family val="0"/>
    </font>
    <font>
      <sz val="7.5"/>
      <name val="Arial"/>
      <family val="2"/>
    </font>
    <font>
      <sz val="9"/>
      <name val="Arial"/>
      <family val="2"/>
    </font>
    <font>
      <sz val="10"/>
      <name val="Symbol"/>
      <family val="1"/>
    </font>
    <font>
      <u val="single"/>
      <sz val="10"/>
      <color indexed="12"/>
      <name val="Helv"/>
      <family val="0"/>
    </font>
    <font>
      <u val="single"/>
      <sz val="10"/>
      <color indexed="36"/>
      <name val="Helv"/>
      <family val="0"/>
    </font>
    <font>
      <vertAlign val="subscript"/>
      <sz val="8"/>
      <name val="Arial"/>
      <family val="2"/>
    </font>
  </fonts>
  <fills count="13">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lightUp">
        <bgColor indexed="27"/>
      </patternFill>
    </fill>
    <fill>
      <patternFill patternType="lightUp">
        <bgColor indexed="26"/>
      </patternFill>
    </fill>
    <fill>
      <patternFill patternType="solid">
        <fgColor indexed="26"/>
        <bgColor indexed="64"/>
      </patternFill>
    </fill>
    <fill>
      <patternFill patternType="solid">
        <fgColor indexed="43"/>
        <bgColor indexed="64"/>
      </patternFill>
    </fill>
    <fill>
      <patternFill patternType="lightUp"/>
    </fill>
    <fill>
      <patternFill patternType="lightUp">
        <bgColor indexed="34"/>
      </patternFill>
    </fill>
    <fill>
      <patternFill patternType="solid">
        <fgColor indexed="13"/>
        <bgColor indexed="64"/>
      </patternFill>
    </fill>
    <fill>
      <patternFill patternType="solid">
        <fgColor indexed="42"/>
        <bgColor indexed="64"/>
      </patternFill>
    </fill>
  </fills>
  <borders count="94">
    <border>
      <left/>
      <right/>
      <top/>
      <bottom/>
      <diagonal/>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medium"/>
    </border>
    <border>
      <left style="thin"/>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style="medium"/>
      <bottom style="thin"/>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double"/>
    </border>
    <border>
      <left style="thin"/>
      <right style="medium"/>
      <top>
        <color indexed="63"/>
      </top>
      <bottom style="double"/>
    </border>
    <border>
      <left>
        <color indexed="63"/>
      </left>
      <right style="medium"/>
      <top>
        <color indexed="63"/>
      </top>
      <bottom style="thin"/>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color indexed="63"/>
      </left>
      <right style="medium"/>
      <top style="medium"/>
      <bottom style="double"/>
    </border>
    <border>
      <left>
        <color indexed="63"/>
      </left>
      <right style="thin"/>
      <top style="medium">
        <color indexed="8"/>
      </top>
      <bottom>
        <color indexed="63"/>
      </bottom>
    </border>
    <border>
      <left style="medium"/>
      <right style="thin"/>
      <top style="medium"/>
      <bottom>
        <color indexed="63"/>
      </bottom>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style="medium"/>
      <right style="medium"/>
      <top>
        <color indexed="63"/>
      </top>
      <bottom>
        <color indexed="63"/>
      </bottom>
    </border>
    <border>
      <left style="thin"/>
      <right style="thin"/>
      <top style="medium">
        <color indexed="8"/>
      </top>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double"/>
    </border>
    <border>
      <left>
        <color indexed="63"/>
      </left>
      <right>
        <color indexed="63"/>
      </right>
      <top>
        <color indexed="63"/>
      </top>
      <bottom style="medium"/>
    </border>
    <border>
      <left style="thin"/>
      <right style="thin"/>
      <top style="thin"/>
      <bottom>
        <color indexed="63"/>
      </bottom>
    </border>
    <border>
      <left style="thin"/>
      <right style="medium"/>
      <top style="medium"/>
      <bottom>
        <color indexed="63"/>
      </bottom>
    </border>
    <border>
      <left style="thin"/>
      <right style="medium"/>
      <top style="medium">
        <color indexed="8"/>
      </top>
      <bottom>
        <color indexed="63"/>
      </bottom>
    </border>
    <border>
      <left>
        <color indexed="63"/>
      </left>
      <right style="thin"/>
      <top style="thin"/>
      <bottom>
        <color indexed="63"/>
      </bottom>
    </border>
    <border>
      <left style="medium"/>
      <right style="medium"/>
      <top style="medium">
        <color indexed="8"/>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color indexed="63"/>
      </right>
      <top style="medium"/>
      <bottom style="thin"/>
    </border>
    <border>
      <left>
        <color indexed="63"/>
      </left>
      <right style="hair"/>
      <top>
        <color indexed="63"/>
      </top>
      <bottom>
        <color indexed="63"/>
      </bottom>
    </border>
    <border>
      <left>
        <color indexed="63"/>
      </left>
      <right style="thin"/>
      <top style="medium"/>
      <bottom style="thin"/>
    </border>
    <border>
      <left style="medium"/>
      <right style="hair"/>
      <top>
        <color indexed="63"/>
      </top>
      <bottom>
        <color indexed="63"/>
      </bottom>
    </border>
    <border>
      <left style="medium"/>
      <right style="thin"/>
      <top style="medium">
        <color indexed="8"/>
      </top>
      <bottom style="medium"/>
    </border>
    <border>
      <left style="medium"/>
      <right style="thin"/>
      <top style="medium"/>
      <bottom style="medium"/>
    </border>
    <border>
      <left style="thin"/>
      <right style="thin"/>
      <top style="medium"/>
      <bottom style="medium"/>
    </border>
    <border>
      <left>
        <color indexed="63"/>
      </left>
      <right style="medium"/>
      <top style="medium">
        <color indexed="8"/>
      </top>
      <bottom style="medium">
        <color indexed="8"/>
      </bottom>
    </border>
    <border>
      <left style="hair"/>
      <right style="thin"/>
      <top style="hair"/>
      <bottom>
        <color indexed="63"/>
      </bottom>
    </border>
    <border>
      <left style="hair"/>
      <right style="hair"/>
      <top style="hair"/>
      <bottom>
        <color indexed="63"/>
      </bottom>
    </border>
    <border>
      <left style="thin"/>
      <right style="thin"/>
      <top>
        <color indexed="63"/>
      </top>
      <bottom style="double"/>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color indexed="63"/>
      </bottom>
    </border>
    <border>
      <left>
        <color indexed="63"/>
      </left>
      <right style="thin"/>
      <top style="medium"/>
      <bottom>
        <color indexed="63"/>
      </bottom>
    </border>
    <border>
      <left style="medium"/>
      <right style="medium"/>
      <top>
        <color indexed="63"/>
      </top>
      <bottom style="double"/>
    </border>
    <border>
      <left style="medium"/>
      <right style="medium"/>
      <top>
        <color indexed="63"/>
      </top>
      <bottom style="thin"/>
    </border>
    <border>
      <left>
        <color indexed="63"/>
      </left>
      <right style="thin"/>
      <top style="medium"/>
      <bottom style="medium"/>
    </border>
    <border>
      <left>
        <color indexed="63"/>
      </left>
      <right style="medium"/>
      <top style="medium"/>
      <bottom>
        <color indexed="63"/>
      </bottom>
    </border>
    <border>
      <left style="thin"/>
      <right style="thick"/>
      <top>
        <color indexed="63"/>
      </top>
      <bottom>
        <color indexed="63"/>
      </bottom>
    </border>
    <border>
      <left style="thin"/>
      <right style="hair"/>
      <top style="hair"/>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hair"/>
      <right style="thin"/>
      <top style="hair"/>
      <bottom style="hair"/>
    </border>
    <border>
      <left style="medium"/>
      <right style="hair"/>
      <top style="hair"/>
      <bottom style="hair"/>
    </border>
    <border>
      <left style="hair"/>
      <right style="medium"/>
      <top style="hair"/>
      <bottom style="hair"/>
    </border>
    <border>
      <left style="medium"/>
      <right style="medium"/>
      <top style="hair"/>
      <bottom style="hair"/>
    </border>
    <border>
      <left>
        <color indexed="63"/>
      </left>
      <right>
        <color indexed="63"/>
      </right>
      <top style="hair"/>
      <bottom style="hair"/>
    </border>
    <border>
      <left>
        <color indexed="63"/>
      </left>
      <right style="medium"/>
      <top style="hair"/>
      <bottom style="hair"/>
    </border>
    <border>
      <left style="thin"/>
      <right style="thick"/>
      <top style="medium"/>
      <bottom>
        <color indexed="63"/>
      </bottom>
    </border>
    <border>
      <left style="thin"/>
      <right style="thick"/>
      <top>
        <color indexed="63"/>
      </top>
      <bottom style="medium"/>
    </border>
    <border>
      <left style="medium"/>
      <right>
        <color indexed="63"/>
      </right>
      <top style="hair"/>
      <bottom style="hair"/>
    </border>
    <border>
      <left>
        <color indexed="63"/>
      </left>
      <right>
        <color indexed="63"/>
      </right>
      <top style="hair"/>
      <bottom>
        <color indexed="63"/>
      </bottom>
    </border>
    <border>
      <left style="medium"/>
      <right>
        <color indexed="63"/>
      </right>
      <top>
        <color indexed="63"/>
      </top>
      <bottom style="double"/>
    </border>
    <border>
      <left>
        <color indexed="63"/>
      </left>
      <right style="medium"/>
      <top>
        <color indexed="63"/>
      </top>
      <bottom style="double"/>
    </border>
    <border>
      <left style="thin"/>
      <right style="thin"/>
      <top style="hair"/>
      <bottom style="medium"/>
    </border>
    <border>
      <left>
        <color indexed="63"/>
      </left>
      <right style="medium"/>
      <top style="medium"/>
      <bottom style="thin"/>
    </border>
    <border>
      <left>
        <color indexed="63"/>
      </left>
      <right style="medium"/>
      <top style="thin"/>
      <bottom style="medium"/>
    </border>
    <border>
      <left>
        <color indexed="63"/>
      </left>
      <right style="medium"/>
      <top style="double"/>
      <bottom style="thin"/>
    </border>
    <border>
      <left style="medium"/>
      <right>
        <color indexed="63"/>
      </right>
      <top style="double"/>
      <bottom style="thin"/>
    </border>
    <border>
      <left>
        <color indexed="63"/>
      </left>
      <right>
        <color indexed="63"/>
      </right>
      <top style="thin"/>
      <bottom>
        <color indexed="63"/>
      </bottom>
    </border>
    <border>
      <left style="thin"/>
      <right style="medium"/>
      <top style="medium"/>
      <bottom style="thin"/>
    </border>
    <border>
      <left>
        <color indexed="63"/>
      </left>
      <right>
        <color indexed="63"/>
      </right>
      <top style="medium"/>
      <bottom style="double"/>
    </border>
  </borders>
  <cellStyleXfs count="38">
    <xf numFmtId="180" fontId="0" fillId="0" borderId="0" applyNumberFormat="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2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pplyNumberForma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4" fillId="0" borderId="0">
      <alignment/>
      <protection/>
    </xf>
    <xf numFmtId="0" fontId="0" fillId="2" borderId="0">
      <alignment/>
      <protection/>
    </xf>
    <xf numFmtId="9" fontId="4" fillId="0" borderId="0" applyFont="0" applyFill="0" applyBorder="0" applyAlignment="0" applyProtection="0"/>
    <xf numFmtId="0" fontId="6" fillId="0" borderId="0">
      <alignment/>
      <protection/>
    </xf>
    <xf numFmtId="178" fontId="6" fillId="0" borderId="0" applyFont="0" applyFill="0" applyBorder="0" applyAlignment="0" applyProtection="0"/>
    <xf numFmtId="179" fontId="6" fillId="0" borderId="0" applyFont="0" applyFill="0" applyBorder="0" applyAlignment="0" applyProtection="0"/>
    <xf numFmtId="0" fontId="9" fillId="0" borderId="1">
      <alignment vertical="center"/>
      <protection/>
    </xf>
  </cellStyleXfs>
  <cellXfs count="603">
    <xf numFmtId="180" fontId="0" fillId="0" borderId="0" xfId="0" applyAlignment="1">
      <alignment/>
    </xf>
    <xf numFmtId="180" fontId="0" fillId="3" borderId="2" xfId="0" applyFont="1" applyFill="1" applyBorder="1" applyAlignment="1" applyProtection="1">
      <alignment horizontal="center" vertical="center"/>
      <protection/>
    </xf>
    <xf numFmtId="2" fontId="0" fillId="3" borderId="2" xfId="0" applyNumberFormat="1" applyFont="1" applyFill="1" applyBorder="1" applyAlignment="1" applyProtection="1">
      <alignment vertical="center"/>
      <protection/>
    </xf>
    <xf numFmtId="2" fontId="0" fillId="3" borderId="3" xfId="0" applyNumberFormat="1" applyFont="1" applyFill="1" applyBorder="1" applyAlignment="1" applyProtection="1">
      <alignment horizontal="right"/>
      <protection/>
    </xf>
    <xf numFmtId="180" fontId="0" fillId="4" borderId="4" xfId="0" applyFont="1" applyFill="1" applyBorder="1" applyAlignment="1" applyProtection="1">
      <alignment horizontal="center" vertical="center"/>
      <protection/>
    </xf>
    <xf numFmtId="2" fontId="0" fillId="4" borderId="5" xfId="0" applyNumberFormat="1" applyFont="1" applyFill="1" applyBorder="1" applyAlignment="1" applyProtection="1">
      <alignment horizontal="right" vertical="top"/>
      <protection/>
    </xf>
    <xf numFmtId="2" fontId="0" fillId="4" borderId="6" xfId="0" applyNumberFormat="1" applyFont="1" applyFill="1" applyBorder="1" applyAlignment="1" applyProtection="1">
      <alignment horizontal="right" vertical="top"/>
      <protection/>
    </xf>
    <xf numFmtId="180" fontId="0" fillId="4" borderId="7" xfId="0" applyFont="1" applyFill="1" applyBorder="1" applyAlignment="1" applyProtection="1">
      <alignment horizontal="center" vertical="center"/>
      <protection/>
    </xf>
    <xf numFmtId="4" fontId="0" fillId="4" borderId="8" xfId="15" applyNumberFormat="1" applyFont="1" applyFill="1" applyBorder="1" applyAlignment="1" applyProtection="1">
      <alignment horizontal="center" vertical="center"/>
      <protection/>
    </xf>
    <xf numFmtId="4" fontId="0" fillId="4" borderId="4" xfId="15" applyNumberFormat="1" applyFont="1" applyFill="1" applyBorder="1" applyAlignment="1" applyProtection="1">
      <alignment horizontal="center" vertical="center"/>
      <protection/>
    </xf>
    <xf numFmtId="180" fontId="0" fillId="4" borderId="9" xfId="0" applyFont="1" applyFill="1" applyBorder="1" applyAlignment="1" applyProtection="1">
      <alignment horizontal="center" vertical="center"/>
      <protection/>
    </xf>
    <xf numFmtId="2" fontId="0" fillId="4" borderId="4" xfId="0" applyNumberFormat="1" applyFont="1" applyFill="1" applyBorder="1" applyAlignment="1" applyProtection="1">
      <alignment horizontal="center" vertical="center"/>
      <protection/>
    </xf>
    <xf numFmtId="2" fontId="0" fillId="4" borderId="10" xfId="0" applyNumberFormat="1" applyFont="1" applyFill="1" applyBorder="1" applyAlignment="1" applyProtection="1">
      <alignment horizontal="center" vertical="center"/>
      <protection/>
    </xf>
    <xf numFmtId="2" fontId="0" fillId="4" borderId="7" xfId="0" applyNumberFormat="1" applyFont="1" applyFill="1" applyBorder="1" applyAlignment="1" applyProtection="1">
      <alignment horizontal="center" vertical="center"/>
      <protection/>
    </xf>
    <xf numFmtId="4" fontId="0" fillId="4" borderId="7" xfId="15" applyNumberFormat="1" applyFont="1" applyFill="1" applyBorder="1" applyAlignment="1" applyProtection="1">
      <alignment horizontal="right" vertical="center"/>
      <protection/>
    </xf>
    <xf numFmtId="180" fontId="0" fillId="4" borderId="11" xfId="0" applyFont="1" applyFill="1" applyBorder="1" applyAlignment="1" applyProtection="1">
      <alignment horizontal="center" vertical="center"/>
      <protection/>
    </xf>
    <xf numFmtId="180" fontId="5" fillId="4" borderId="12" xfId="0" applyFont="1" applyFill="1" applyBorder="1" applyAlignment="1" applyProtection="1">
      <alignment vertical="center"/>
      <protection/>
    </xf>
    <xf numFmtId="1" fontId="0" fillId="4" borderId="4" xfId="0" applyNumberFormat="1" applyFont="1" applyFill="1" applyBorder="1" applyAlignment="1" applyProtection="1">
      <alignment horizontal="center" vertical="center"/>
      <protection/>
    </xf>
    <xf numFmtId="180" fontId="0" fillId="4" borderId="8" xfId="0" applyFont="1" applyFill="1" applyBorder="1" applyAlignment="1" applyProtection="1">
      <alignment horizontal="center" vertical="center"/>
      <protection/>
    </xf>
    <xf numFmtId="1" fontId="0" fillId="4" borderId="7" xfId="0" applyNumberFormat="1" applyFont="1" applyFill="1" applyBorder="1" applyAlignment="1" applyProtection="1">
      <alignment horizontal="center" vertical="center"/>
      <protection/>
    </xf>
    <xf numFmtId="0" fontId="0" fillId="4" borderId="7" xfId="0" applyNumberFormat="1" applyFont="1" applyFill="1" applyBorder="1" applyAlignment="1" applyProtection="1">
      <alignment horizontal="center" vertical="center"/>
      <protection/>
    </xf>
    <xf numFmtId="180" fontId="0" fillId="4" borderId="12" xfId="0" applyFont="1" applyFill="1" applyBorder="1" applyAlignment="1" applyProtection="1">
      <alignment vertical="center"/>
      <protection/>
    </xf>
    <xf numFmtId="180" fontId="0" fillId="4" borderId="13" xfId="0" applyFont="1" applyFill="1" applyBorder="1" applyAlignment="1" applyProtection="1">
      <alignment horizontal="center" vertical="center"/>
      <protection/>
    </xf>
    <xf numFmtId="180" fontId="0" fillId="4" borderId="10" xfId="0" applyFont="1" applyFill="1" applyBorder="1" applyAlignment="1" applyProtection="1">
      <alignment horizontal="center" vertical="center"/>
      <protection/>
    </xf>
    <xf numFmtId="180" fontId="0" fillId="4" borderId="14" xfId="0" applyFont="1" applyFill="1" applyBorder="1" applyAlignment="1" applyProtection="1">
      <alignment horizontal="center" vertical="center"/>
      <protection/>
    </xf>
    <xf numFmtId="180" fontId="0" fillId="4" borderId="15" xfId="0" applyFont="1" applyFill="1" applyBorder="1" applyAlignment="1" applyProtection="1">
      <alignment horizontal="center" vertical="center"/>
      <protection/>
    </xf>
    <xf numFmtId="0" fontId="0" fillId="4" borderId="7" xfId="0" applyNumberFormat="1" applyFont="1" applyFill="1" applyBorder="1" applyAlignment="1" applyProtection="1">
      <alignment horizontal="center"/>
      <protection/>
    </xf>
    <xf numFmtId="0" fontId="0" fillId="4" borderId="11" xfId="0" applyNumberFormat="1" applyFont="1" applyFill="1" applyBorder="1" applyAlignment="1" applyProtection="1">
      <alignment horizontal="center"/>
      <protection/>
    </xf>
    <xf numFmtId="181" fontId="0" fillId="4" borderId="8" xfId="0" applyNumberFormat="1" applyFont="1" applyFill="1" applyBorder="1" applyAlignment="1" applyProtection="1">
      <alignment horizontal="center" vertical="center"/>
      <protection/>
    </xf>
    <xf numFmtId="181" fontId="0" fillId="4" borderId="7" xfId="0" applyNumberFormat="1" applyFont="1" applyFill="1" applyBorder="1" applyAlignment="1" applyProtection="1">
      <alignment horizontal="center" vertical="center"/>
      <protection/>
    </xf>
    <xf numFmtId="1" fontId="0" fillId="4" borderId="8" xfId="0" applyNumberFormat="1" applyFont="1" applyFill="1" applyBorder="1" applyAlignment="1" applyProtection="1">
      <alignment horizontal="center" vertical="center"/>
      <protection/>
    </xf>
    <xf numFmtId="182" fontId="0" fillId="4" borderId="2" xfId="0" applyNumberFormat="1" applyFont="1" applyFill="1" applyBorder="1" applyAlignment="1" applyProtection="1">
      <alignment horizontal="left" vertical="center"/>
      <protection/>
    </xf>
    <xf numFmtId="182" fontId="0" fillId="4" borderId="7" xfId="0" applyNumberFormat="1" applyFont="1" applyFill="1" applyBorder="1" applyAlignment="1" applyProtection="1">
      <alignment horizontal="center" vertical="center"/>
      <protection/>
    </xf>
    <xf numFmtId="181" fontId="0" fillId="4" borderId="4" xfId="0" applyNumberFormat="1" applyFont="1" applyFill="1" applyBorder="1" applyAlignment="1" applyProtection="1">
      <alignment horizontal="center" vertical="center"/>
      <protection/>
    </xf>
    <xf numFmtId="182" fontId="0" fillId="4" borderId="4" xfId="0" applyNumberFormat="1" applyFont="1" applyFill="1" applyBorder="1" applyAlignment="1" applyProtection="1">
      <alignment horizontal="center" vertical="center"/>
      <protection/>
    </xf>
    <xf numFmtId="181" fontId="0" fillId="4" borderId="8" xfId="0" applyNumberFormat="1" applyFont="1" applyFill="1" applyBorder="1" applyAlignment="1" applyProtection="1">
      <alignment horizontal="center"/>
      <protection/>
    </xf>
    <xf numFmtId="181" fontId="0" fillId="4" borderId="4" xfId="0" applyNumberFormat="1" applyFont="1" applyFill="1" applyBorder="1" applyAlignment="1" applyProtection="1">
      <alignment horizontal="center"/>
      <protection/>
    </xf>
    <xf numFmtId="181" fontId="0" fillId="4" borderId="7" xfId="0" applyNumberFormat="1" applyFont="1" applyFill="1" applyBorder="1" applyAlignment="1" applyProtection="1">
      <alignment horizontal="center"/>
      <protection/>
    </xf>
    <xf numFmtId="0" fontId="0" fillId="3" borderId="12" xfId="0" applyNumberFormat="1" applyFont="1" applyFill="1" applyBorder="1" applyAlignment="1" applyProtection="1">
      <alignment vertical="center"/>
      <protection/>
    </xf>
    <xf numFmtId="0" fontId="0" fillId="4" borderId="4" xfId="0" applyNumberFormat="1" applyFont="1" applyFill="1" applyBorder="1" applyAlignment="1" applyProtection="1">
      <alignment horizontal="center" vertical="center"/>
      <protection/>
    </xf>
    <xf numFmtId="0" fontId="4" fillId="0" borderId="0" xfId="31">
      <alignment/>
      <protection/>
    </xf>
    <xf numFmtId="0" fontId="4" fillId="0" borderId="0" xfId="31" applyAlignment="1">
      <alignment horizontal="left"/>
      <protection/>
    </xf>
    <xf numFmtId="0" fontId="10" fillId="0" borderId="0" xfId="31" applyFont="1" applyAlignment="1">
      <alignment vertical="top"/>
      <protection/>
    </xf>
    <xf numFmtId="0" fontId="1" fillId="0" borderId="0" xfId="31" applyFont="1" applyBorder="1" applyAlignment="1">
      <alignment horizontal="left"/>
      <protection/>
    </xf>
    <xf numFmtId="0" fontId="1" fillId="0" borderId="16" xfId="31" applyFont="1" applyBorder="1" applyAlignment="1">
      <alignment horizontal="centerContinuous" wrapText="1"/>
      <protection/>
    </xf>
    <xf numFmtId="0" fontId="1" fillId="0" borderId="17" xfId="31" applyFont="1" applyBorder="1" applyAlignment="1">
      <alignment horizontal="centerContinuous"/>
      <protection/>
    </xf>
    <xf numFmtId="0" fontId="1" fillId="0" borderId="18" xfId="31" applyFont="1" applyBorder="1" applyAlignment="1">
      <alignment horizontal="centerContinuous"/>
      <protection/>
    </xf>
    <xf numFmtId="0" fontId="1" fillId="0" borderId="17" xfId="31" applyFont="1" applyBorder="1" applyAlignment="1">
      <alignment horizontal="centerContinuous" wrapText="1"/>
      <protection/>
    </xf>
    <xf numFmtId="0" fontId="1" fillId="0" borderId="19" xfId="31" applyFont="1" applyBorder="1" applyAlignment="1">
      <alignment horizontal="center" vertical="center" textRotation="90" wrapText="1"/>
      <protection/>
    </xf>
    <xf numFmtId="0" fontId="1" fillId="0" borderId="20" xfId="31" applyFont="1" applyBorder="1" applyAlignment="1">
      <alignment horizontal="center" vertical="center" textRotation="90" wrapText="1"/>
      <protection/>
    </xf>
    <xf numFmtId="0" fontId="4" fillId="0" borderId="21" xfId="31" applyBorder="1" applyAlignment="1">
      <alignment horizontal="left" wrapText="1"/>
      <protection/>
    </xf>
    <xf numFmtId="0" fontId="4" fillId="0" borderId="5" xfId="31" applyBorder="1" applyAlignment="1">
      <alignment wrapText="1"/>
      <protection/>
    </xf>
    <xf numFmtId="0" fontId="4" fillId="0" borderId="22" xfId="31" applyBorder="1" applyAlignment="1">
      <alignment wrapText="1"/>
      <protection/>
    </xf>
    <xf numFmtId="0" fontId="1" fillId="0" borderId="5" xfId="31" applyFont="1" applyBorder="1" applyAlignment="1">
      <alignment horizontal="center"/>
      <protection/>
    </xf>
    <xf numFmtId="0" fontId="1" fillId="0" borderId="21" xfId="31" applyFont="1" applyBorder="1" applyAlignment="1">
      <alignment horizontal="left" wrapText="1"/>
      <protection/>
    </xf>
    <xf numFmtId="0" fontId="4" fillId="0" borderId="21" xfId="31" applyBorder="1" applyAlignment="1">
      <alignment horizontal="left"/>
      <protection/>
    </xf>
    <xf numFmtId="0" fontId="4" fillId="0" borderId="5" xfId="31" applyBorder="1">
      <alignment/>
      <protection/>
    </xf>
    <xf numFmtId="0" fontId="4" fillId="0" borderId="22" xfId="31" applyBorder="1">
      <alignment/>
      <protection/>
    </xf>
    <xf numFmtId="0" fontId="4" fillId="0" borderId="14" xfId="31" applyBorder="1" applyAlignment="1">
      <alignment horizontal="left"/>
      <protection/>
    </xf>
    <xf numFmtId="0" fontId="4" fillId="0" borderId="23" xfId="31" applyBorder="1">
      <alignment/>
      <protection/>
    </xf>
    <xf numFmtId="0" fontId="4" fillId="0" borderId="24" xfId="31" applyBorder="1">
      <alignment/>
      <protection/>
    </xf>
    <xf numFmtId="0" fontId="1" fillId="0" borderId="23" xfId="31" applyFont="1" applyBorder="1" applyAlignment="1">
      <alignment horizontal="center"/>
      <protection/>
    </xf>
    <xf numFmtId="0" fontId="4" fillId="0" borderId="0" xfId="31" applyBorder="1" applyAlignment="1">
      <alignment horizontal="left"/>
      <protection/>
    </xf>
    <xf numFmtId="0" fontId="4" fillId="0" borderId="0" xfId="31" applyBorder="1">
      <alignment/>
      <protection/>
    </xf>
    <xf numFmtId="0" fontId="1" fillId="0" borderId="0" xfId="31" applyFont="1" applyBorder="1" applyAlignment="1">
      <alignment horizontal="center"/>
      <protection/>
    </xf>
    <xf numFmtId="0" fontId="10" fillId="0" borderId="0" xfId="31" applyFont="1" applyAlignment="1">
      <alignment horizontal="left" vertical="top"/>
      <protection/>
    </xf>
    <xf numFmtId="0" fontId="10" fillId="0" borderId="0" xfId="31" applyFont="1" applyAlignment="1">
      <alignment horizontal="centerContinuous" vertical="top"/>
      <protection/>
    </xf>
    <xf numFmtId="0" fontId="1" fillId="0" borderId="25" xfId="31" applyFont="1" applyBorder="1" applyAlignment="1">
      <alignment horizontal="left"/>
      <protection/>
    </xf>
    <xf numFmtId="180" fontId="0" fillId="4" borderId="26" xfId="0" applyFont="1" applyFill="1" applyBorder="1" applyAlignment="1" applyProtection="1">
      <alignment horizontal="centerContinuous" vertical="center"/>
      <protection/>
    </xf>
    <xf numFmtId="180" fontId="0" fillId="4" borderId="27" xfId="0" applyFont="1" applyFill="1" applyBorder="1" applyAlignment="1" applyProtection="1">
      <alignment horizontal="center" vertical="center"/>
      <protection/>
    </xf>
    <xf numFmtId="180" fontId="5" fillId="4" borderId="2" xfId="0" applyFont="1" applyFill="1" applyBorder="1" applyAlignment="1" applyProtection="1">
      <alignment vertical="center"/>
      <protection/>
    </xf>
    <xf numFmtId="1" fontId="0" fillId="4" borderId="27" xfId="0" applyNumberFormat="1" applyFont="1" applyFill="1" applyBorder="1" applyAlignment="1" applyProtection="1">
      <alignment horizontal="center"/>
      <protection/>
    </xf>
    <xf numFmtId="1" fontId="0" fillId="4" borderId="9" xfId="0" applyNumberFormat="1" applyFont="1" applyFill="1" applyBorder="1" applyAlignment="1" applyProtection="1">
      <alignment horizontal="center" vertical="top"/>
      <protection/>
    </xf>
    <xf numFmtId="180" fontId="0" fillId="0" borderId="0" xfId="0" applyAlignment="1" applyProtection="1">
      <alignment/>
      <protection locked="0"/>
    </xf>
    <xf numFmtId="49" fontId="0" fillId="0" borderId="0" xfId="0" applyNumberFormat="1" applyAlignment="1">
      <alignment/>
    </xf>
    <xf numFmtId="49" fontId="0" fillId="5" borderId="0" xfId="0" applyNumberFormat="1" applyFill="1" applyBorder="1" applyAlignment="1">
      <alignment/>
    </xf>
    <xf numFmtId="49" fontId="0" fillId="5" borderId="28" xfId="0" applyNumberFormat="1" applyFill="1" applyBorder="1" applyAlignment="1">
      <alignment/>
    </xf>
    <xf numFmtId="49" fontId="0" fillId="5" borderId="4" xfId="0" applyNumberFormat="1" applyFill="1" applyBorder="1" applyAlignment="1">
      <alignment/>
    </xf>
    <xf numFmtId="49" fontId="0" fillId="5" borderId="29" xfId="0" applyNumberFormat="1" applyFill="1" applyBorder="1" applyAlignment="1">
      <alignment/>
    </xf>
    <xf numFmtId="49" fontId="0" fillId="0" borderId="0" xfId="0" applyNumberFormat="1" applyAlignment="1">
      <alignment horizontal="center"/>
    </xf>
    <xf numFmtId="49" fontId="0" fillId="6" borderId="9" xfId="0" applyNumberFormat="1" applyFill="1" applyBorder="1" applyAlignment="1">
      <alignment horizontal="center"/>
    </xf>
    <xf numFmtId="49" fontId="0" fillId="6" borderId="30" xfId="0" applyNumberFormat="1" applyFill="1" applyBorder="1" applyAlignment="1">
      <alignment horizontal="center"/>
    </xf>
    <xf numFmtId="49" fontId="0" fillId="6" borderId="31" xfId="0" applyNumberFormat="1" applyFill="1" applyBorder="1" applyAlignment="1">
      <alignment horizontal="center"/>
    </xf>
    <xf numFmtId="2" fontId="0" fillId="0" borderId="13" xfId="0" applyNumberFormat="1" applyBorder="1" applyAlignment="1" applyProtection="1">
      <alignment/>
      <protection locked="0"/>
    </xf>
    <xf numFmtId="2" fontId="0" fillId="0" borderId="10" xfId="0" applyNumberFormat="1" applyBorder="1" applyAlignment="1" applyProtection="1">
      <alignment/>
      <protection locked="0"/>
    </xf>
    <xf numFmtId="0" fontId="0" fillId="0" borderId="0" xfId="0" applyNumberFormat="1" applyAlignment="1">
      <alignment/>
    </xf>
    <xf numFmtId="0" fontId="0" fillId="4" borderId="32" xfId="0" applyNumberFormat="1" applyFont="1" applyFill="1" applyBorder="1" applyAlignment="1" applyProtection="1">
      <alignment horizontal="center" vertical="center"/>
      <protection/>
    </xf>
    <xf numFmtId="0" fontId="4" fillId="0" borderId="0" xfId="31" applyNumberFormat="1">
      <alignment/>
      <protection/>
    </xf>
    <xf numFmtId="0" fontId="10" fillId="0" borderId="0" xfId="31" applyNumberFormat="1" applyFont="1" applyAlignment="1">
      <alignment vertical="top"/>
      <protection/>
    </xf>
    <xf numFmtId="0" fontId="4" fillId="0" borderId="33" xfId="31" applyNumberFormat="1" applyBorder="1" applyAlignment="1">
      <alignment horizontal="left"/>
      <protection/>
    </xf>
    <xf numFmtId="0" fontId="1" fillId="7" borderId="33" xfId="31" applyNumberFormat="1" applyFont="1" applyFill="1" applyBorder="1" applyAlignment="1">
      <alignment horizontal="left"/>
      <protection/>
    </xf>
    <xf numFmtId="0" fontId="4" fillId="7" borderId="33" xfId="31" applyNumberFormat="1" applyFill="1" applyBorder="1" applyAlignment="1">
      <alignment horizontal="left"/>
      <protection/>
    </xf>
    <xf numFmtId="0" fontId="4" fillId="0" borderId="34" xfId="31" applyNumberFormat="1" applyBorder="1" applyAlignment="1">
      <alignment horizontal="left"/>
      <protection/>
    </xf>
    <xf numFmtId="0" fontId="4" fillId="0" borderId="0" xfId="31" applyNumberFormat="1" applyBorder="1" applyAlignment="1">
      <alignment horizontal="left"/>
      <protection/>
    </xf>
    <xf numFmtId="0" fontId="5" fillId="0" borderId="35" xfId="31" applyNumberFormat="1" applyFont="1" applyBorder="1" applyAlignment="1">
      <alignment horizontal="center"/>
      <protection/>
    </xf>
    <xf numFmtId="0" fontId="5" fillId="0" borderId="33" xfId="31" applyNumberFormat="1" applyFont="1" applyBorder="1">
      <alignment/>
      <protection/>
    </xf>
    <xf numFmtId="0" fontId="5" fillId="0" borderId="34" xfId="31" applyNumberFormat="1" applyFont="1" applyBorder="1">
      <alignment/>
      <protection/>
    </xf>
    <xf numFmtId="0" fontId="5" fillId="0" borderId="0" xfId="31" applyNumberFormat="1" applyFont="1" applyBorder="1">
      <alignment/>
      <protection/>
    </xf>
    <xf numFmtId="0" fontId="1" fillId="0" borderId="35" xfId="31" applyNumberFormat="1" applyFont="1" applyBorder="1" applyAlignment="1">
      <alignment horizontal="center"/>
      <protection/>
    </xf>
    <xf numFmtId="0" fontId="4" fillId="0" borderId="33" xfId="31" applyNumberFormat="1" applyBorder="1" applyAlignment="1">
      <alignment horizontal="center"/>
      <protection/>
    </xf>
    <xf numFmtId="0" fontId="4" fillId="0" borderId="34" xfId="31" applyNumberFormat="1" applyBorder="1" applyAlignment="1">
      <alignment horizontal="center"/>
      <protection/>
    </xf>
    <xf numFmtId="0" fontId="0" fillId="0" borderId="14" xfId="0" applyNumberFormat="1" applyBorder="1" applyAlignment="1">
      <alignment/>
    </xf>
    <xf numFmtId="0" fontId="0" fillId="0" borderId="36" xfId="0" applyNumberFormat="1" applyBorder="1" applyAlignment="1">
      <alignment/>
    </xf>
    <xf numFmtId="0" fontId="0" fillId="0" borderId="13" xfId="0" applyNumberFormat="1" applyBorder="1" applyAlignment="1">
      <alignment/>
    </xf>
    <xf numFmtId="0" fontId="0" fillId="0" borderId="0" xfId="0" applyNumberFormat="1" applyAlignment="1">
      <alignment horizontal="right"/>
    </xf>
    <xf numFmtId="0" fontId="0" fillId="0" borderId="21" xfId="0" applyNumberFormat="1" applyBorder="1" applyAlignment="1">
      <alignment/>
    </xf>
    <xf numFmtId="0" fontId="0" fillId="0" borderId="28" xfId="0" applyNumberFormat="1" applyBorder="1" applyAlignment="1">
      <alignment/>
    </xf>
    <xf numFmtId="180" fontId="0" fillId="0" borderId="37" xfId="0" applyFill="1" applyBorder="1" applyAlignment="1" applyProtection="1">
      <alignment/>
      <protection locked="0"/>
    </xf>
    <xf numFmtId="180" fontId="0" fillId="0" borderId="4" xfId="0" applyFill="1" applyBorder="1" applyAlignment="1" applyProtection="1">
      <alignment horizontal="center"/>
      <protection locked="0"/>
    </xf>
    <xf numFmtId="182" fontId="0" fillId="4" borderId="32" xfId="0" applyNumberFormat="1" applyFont="1" applyFill="1" applyBorder="1" applyAlignment="1" applyProtection="1">
      <alignment horizontal="center" vertical="center"/>
      <protection/>
    </xf>
    <xf numFmtId="182" fontId="8" fillId="4" borderId="4" xfId="0" applyNumberFormat="1" applyFont="1" applyFill="1" applyBorder="1" applyAlignment="1" applyProtection="1">
      <alignment horizontal="center" vertical="center"/>
      <protection/>
    </xf>
    <xf numFmtId="181" fontId="0" fillId="8" borderId="4" xfId="0" applyNumberFormat="1" applyFont="1" applyFill="1" applyBorder="1" applyAlignment="1" applyProtection="1">
      <alignment horizontal="center" vertical="center"/>
      <protection/>
    </xf>
    <xf numFmtId="180" fontId="0" fillId="4" borderId="38" xfId="0" applyFont="1" applyFill="1" applyBorder="1" applyAlignment="1" applyProtection="1">
      <alignment horizontal="center" vertical="center" wrapText="1"/>
      <protection/>
    </xf>
    <xf numFmtId="180" fontId="0" fillId="4" borderId="17" xfId="0" applyFont="1" applyFill="1" applyBorder="1" applyAlignment="1" applyProtection="1">
      <alignment horizontal="center" vertical="center"/>
      <protection/>
    </xf>
    <xf numFmtId="1" fontId="0" fillId="4" borderId="39" xfId="0" applyNumberFormat="1" applyFont="1" applyFill="1" applyBorder="1" applyAlignment="1" applyProtection="1">
      <alignment horizontal="center" vertical="center"/>
      <protection/>
    </xf>
    <xf numFmtId="1" fontId="0" fillId="4" borderId="18" xfId="0" applyNumberFormat="1" applyFont="1" applyFill="1" applyBorder="1" applyAlignment="1" applyProtection="1">
      <alignment horizontal="center" vertical="center"/>
      <protection/>
    </xf>
    <xf numFmtId="1" fontId="0" fillId="4" borderId="24" xfId="0" applyNumberFormat="1" applyFont="1" applyFill="1" applyBorder="1" applyAlignment="1" applyProtection="1">
      <alignment horizontal="center" vertical="center"/>
      <protection/>
    </xf>
    <xf numFmtId="180" fontId="0" fillId="4" borderId="32" xfId="0" applyFont="1" applyFill="1" applyBorder="1" applyAlignment="1" applyProtection="1">
      <alignment horizontal="centerContinuous" vertical="center"/>
      <protection/>
    </xf>
    <xf numFmtId="180" fontId="0" fillId="4" borderId="37" xfId="0" applyFont="1" applyFill="1" applyBorder="1" applyAlignment="1" applyProtection="1">
      <alignment horizontal="center" vertical="center"/>
      <protection/>
    </xf>
    <xf numFmtId="180" fontId="0" fillId="4" borderId="40" xfId="0" applyFont="1" applyFill="1" applyBorder="1" applyAlignment="1" applyProtection="1">
      <alignment horizontal="center" vertical="center"/>
      <protection/>
    </xf>
    <xf numFmtId="182" fontId="8" fillId="4" borderId="7" xfId="0" applyNumberFormat="1" applyFont="1" applyFill="1" applyBorder="1" applyAlignment="1" applyProtection="1">
      <alignment horizontal="center" vertical="center"/>
      <protection/>
    </xf>
    <xf numFmtId="180" fontId="0" fillId="4" borderId="41" xfId="0" applyFont="1" applyFill="1" applyBorder="1" applyAlignment="1" applyProtection="1">
      <alignment horizontal="center" vertical="center"/>
      <protection/>
    </xf>
    <xf numFmtId="180" fontId="0" fillId="4" borderId="31" xfId="0" applyFont="1" applyFill="1" applyBorder="1" applyAlignment="1" applyProtection="1">
      <alignment horizontal="center" vertical="center"/>
      <protection/>
    </xf>
    <xf numFmtId="180" fontId="0" fillId="4" borderId="42" xfId="0" applyFont="1" applyFill="1" applyBorder="1" applyAlignment="1" applyProtection="1">
      <alignment horizontal="center" vertical="center"/>
      <protection/>
    </xf>
    <xf numFmtId="180" fontId="0" fillId="4" borderId="43" xfId="0" applyFont="1" applyFill="1" applyBorder="1" applyAlignment="1" applyProtection="1">
      <alignment horizontal="left" vertical="center"/>
      <protection/>
    </xf>
    <xf numFmtId="182" fontId="0" fillId="4" borderId="31" xfId="0" applyNumberFormat="1" applyFont="1" applyFill="1" applyBorder="1" applyAlignment="1" applyProtection="1">
      <alignment horizontal="center" vertical="center"/>
      <protection/>
    </xf>
    <xf numFmtId="182" fontId="0" fillId="4" borderId="42" xfId="0" applyNumberFormat="1" applyFont="1" applyFill="1" applyBorder="1" applyAlignment="1" applyProtection="1">
      <alignment horizontal="center" vertical="center"/>
      <protection/>
    </xf>
    <xf numFmtId="0" fontId="0" fillId="4" borderId="27" xfId="0" applyNumberFormat="1" applyFont="1" applyFill="1" applyBorder="1" applyAlignment="1" applyProtection="1">
      <alignment horizontal="center"/>
      <protection/>
    </xf>
    <xf numFmtId="180" fontId="0" fillId="4" borderId="44" xfId="0" applyFont="1" applyFill="1" applyBorder="1" applyAlignment="1" applyProtection="1">
      <alignment vertical="center"/>
      <protection/>
    </xf>
    <xf numFmtId="180" fontId="0" fillId="4" borderId="31" xfId="0" applyFont="1" applyFill="1" applyBorder="1" applyAlignment="1" applyProtection="1">
      <alignment horizontal="left" vertical="center"/>
      <protection/>
    </xf>
    <xf numFmtId="180" fontId="0" fillId="4" borderId="42" xfId="0" applyFont="1" applyFill="1" applyBorder="1" applyAlignment="1" applyProtection="1">
      <alignment horizontal="left" vertical="center"/>
      <protection/>
    </xf>
    <xf numFmtId="181" fontId="0" fillId="4" borderId="11" xfId="0" applyNumberFormat="1" applyFont="1" applyFill="1" applyBorder="1" applyAlignment="1" applyProtection="1">
      <alignment horizontal="center"/>
      <protection/>
    </xf>
    <xf numFmtId="49" fontId="0" fillId="4" borderId="8" xfId="0" applyNumberFormat="1" applyFill="1" applyBorder="1" applyAlignment="1">
      <alignment horizontal="center"/>
    </xf>
    <xf numFmtId="49" fontId="0" fillId="4" borderId="45" xfId="0" applyNumberFormat="1" applyFill="1" applyBorder="1" applyAlignment="1">
      <alignment horizontal="left"/>
    </xf>
    <xf numFmtId="49" fontId="0" fillId="4" borderId="16" xfId="0" applyNumberFormat="1" applyFill="1" applyBorder="1" applyAlignment="1">
      <alignment horizontal="left"/>
    </xf>
    <xf numFmtId="49" fontId="0" fillId="4" borderId="15" xfId="0" applyNumberFormat="1" applyFill="1" applyBorder="1" applyAlignment="1">
      <alignment horizontal="center"/>
    </xf>
    <xf numFmtId="49" fontId="0" fillId="4" borderId="7" xfId="0" applyNumberFormat="1" applyFill="1" applyBorder="1" applyAlignment="1">
      <alignment horizontal="center"/>
    </xf>
    <xf numFmtId="49" fontId="0" fillId="4" borderId="11" xfId="0" applyNumberFormat="1" applyFill="1" applyBorder="1" applyAlignment="1">
      <alignment horizontal="center"/>
    </xf>
    <xf numFmtId="1" fontId="0" fillId="0" borderId="0" xfId="0" applyNumberFormat="1" applyAlignment="1">
      <alignment/>
    </xf>
    <xf numFmtId="1" fontId="0" fillId="5" borderId="0" xfId="0" applyNumberFormat="1" applyFill="1" applyBorder="1" applyAlignment="1">
      <alignment/>
    </xf>
    <xf numFmtId="1" fontId="0" fillId="5" borderId="28" xfId="0" applyNumberFormat="1" applyFill="1" applyBorder="1" applyAlignment="1">
      <alignment/>
    </xf>
    <xf numFmtId="1" fontId="0" fillId="6" borderId="30" xfId="0" applyNumberFormat="1" applyFill="1" applyBorder="1" applyAlignment="1">
      <alignment horizontal="center"/>
    </xf>
    <xf numFmtId="1" fontId="0" fillId="0" borderId="10" xfId="0" applyNumberFormat="1" applyBorder="1" applyAlignment="1" applyProtection="1">
      <alignment/>
      <protection locked="0"/>
    </xf>
    <xf numFmtId="180" fontId="0" fillId="0" borderId="10" xfId="0" applyBorder="1" applyAlignment="1" applyProtection="1">
      <alignment/>
      <protection locked="0"/>
    </xf>
    <xf numFmtId="49" fontId="0" fillId="4" borderId="27" xfId="0" applyNumberFormat="1" applyFill="1" applyBorder="1" applyAlignment="1">
      <alignment horizontal="centerContinuous"/>
    </xf>
    <xf numFmtId="2" fontId="0" fillId="0" borderId="46" xfId="0" applyNumberFormat="1" applyBorder="1" applyAlignment="1" applyProtection="1">
      <alignment/>
      <protection locked="0"/>
    </xf>
    <xf numFmtId="180" fontId="0" fillId="0" borderId="46" xfId="0" applyBorder="1" applyAlignment="1" applyProtection="1">
      <alignment/>
      <protection locked="0"/>
    </xf>
    <xf numFmtId="1" fontId="0" fillId="0" borderId="46" xfId="0" applyNumberFormat="1" applyBorder="1" applyAlignment="1" applyProtection="1">
      <alignment/>
      <protection locked="0"/>
    </xf>
    <xf numFmtId="180" fontId="0" fillId="0" borderId="13" xfId="0" applyBorder="1" applyAlignment="1" applyProtection="1">
      <alignment/>
      <protection locked="0"/>
    </xf>
    <xf numFmtId="2" fontId="7" fillId="0" borderId="0" xfId="0" applyNumberFormat="1" applyFont="1" applyAlignment="1">
      <alignment/>
    </xf>
    <xf numFmtId="2" fontId="0" fillId="0" borderId="0" xfId="0" applyNumberFormat="1" applyAlignment="1">
      <alignment/>
    </xf>
    <xf numFmtId="2" fontId="0" fillId="5" borderId="17" xfId="0" applyNumberFormat="1" applyFill="1" applyBorder="1" applyAlignment="1">
      <alignment/>
    </xf>
    <xf numFmtId="2" fontId="0" fillId="5" borderId="0" xfId="0" applyNumberFormat="1" applyFill="1" applyBorder="1" applyAlignment="1">
      <alignment/>
    </xf>
    <xf numFmtId="2" fontId="0" fillId="5" borderId="5" xfId="0" applyNumberFormat="1" applyFill="1" applyBorder="1" applyAlignment="1">
      <alignment/>
    </xf>
    <xf numFmtId="2" fontId="0" fillId="5" borderId="28" xfId="0" applyNumberFormat="1" applyFill="1" applyBorder="1" applyAlignment="1">
      <alignment/>
    </xf>
    <xf numFmtId="2" fontId="0" fillId="4" borderId="45" xfId="0" applyNumberFormat="1" applyFill="1" applyBorder="1" applyAlignment="1">
      <alignment horizontal="centerContinuous"/>
    </xf>
    <xf numFmtId="2" fontId="0" fillId="4" borderId="47" xfId="0" applyNumberFormat="1" applyFill="1" applyBorder="1" applyAlignment="1">
      <alignment horizontal="centerContinuous"/>
    </xf>
    <xf numFmtId="2" fontId="0" fillId="4" borderId="11" xfId="0" applyNumberFormat="1" applyFill="1" applyBorder="1" applyAlignment="1">
      <alignment horizontal="center"/>
    </xf>
    <xf numFmtId="2" fontId="0" fillId="4" borderId="15" xfId="0" applyNumberFormat="1" applyFill="1" applyBorder="1" applyAlignment="1">
      <alignment horizontal="center"/>
    </xf>
    <xf numFmtId="2" fontId="0" fillId="9" borderId="30" xfId="0" applyNumberFormat="1" applyFill="1" applyBorder="1" applyAlignment="1">
      <alignment/>
    </xf>
    <xf numFmtId="2" fontId="0" fillId="6" borderId="9" xfId="0" applyNumberFormat="1" applyFill="1" applyBorder="1" applyAlignment="1">
      <alignment horizontal="center"/>
    </xf>
    <xf numFmtId="2" fontId="0" fillId="0" borderId="48" xfId="0" applyNumberFormat="1" applyBorder="1" applyAlignment="1" applyProtection="1">
      <alignment/>
      <protection locked="0"/>
    </xf>
    <xf numFmtId="2" fontId="0" fillId="0" borderId="10" xfId="0" applyNumberFormat="1" applyFont="1" applyBorder="1" applyAlignment="1" applyProtection="1">
      <alignment/>
      <protection locked="0"/>
    </xf>
    <xf numFmtId="2" fontId="0" fillId="0" borderId="48" xfId="0" applyNumberFormat="1" applyBorder="1" applyAlignment="1" applyProtection="1">
      <alignment horizontal="right"/>
      <protection locked="0"/>
    </xf>
    <xf numFmtId="2" fontId="0" fillId="0" borderId="10" xfId="0" applyNumberFormat="1" applyBorder="1" applyAlignment="1" applyProtection="1">
      <alignment horizontal="right"/>
      <protection locked="0"/>
    </xf>
    <xf numFmtId="0" fontId="1" fillId="0" borderId="18" xfId="31" applyFont="1" applyBorder="1" applyAlignment="1">
      <alignment horizontal="centerContinuous" wrapText="1"/>
      <protection/>
    </xf>
    <xf numFmtId="0" fontId="1" fillId="0" borderId="22" xfId="31" applyFont="1" applyBorder="1" applyAlignment="1">
      <alignment horizontal="center"/>
      <protection/>
    </xf>
    <xf numFmtId="0" fontId="1" fillId="0" borderId="24" xfId="31" applyFont="1" applyBorder="1" applyAlignment="1">
      <alignment horizontal="center"/>
      <protection/>
    </xf>
    <xf numFmtId="180" fontId="0" fillId="4" borderId="49" xfId="0" applyFont="1" applyFill="1" applyBorder="1" applyAlignment="1" applyProtection="1">
      <alignment horizontal="centerContinuous" vertical="center"/>
      <protection/>
    </xf>
    <xf numFmtId="180" fontId="0" fillId="4" borderId="2" xfId="0" applyFont="1" applyFill="1" applyBorder="1" applyAlignment="1" applyProtection="1">
      <alignment horizontal="centerContinuous"/>
      <protection/>
    </xf>
    <xf numFmtId="181" fontId="0" fillId="4" borderId="2" xfId="0" applyNumberFormat="1" applyFont="1" applyFill="1" applyBorder="1" applyAlignment="1" applyProtection="1">
      <alignment horizontal="centerContinuous"/>
      <protection/>
    </xf>
    <xf numFmtId="1" fontId="0" fillId="4" borderId="2" xfId="0" applyNumberFormat="1" applyFont="1" applyFill="1" applyBorder="1" applyAlignment="1" applyProtection="1">
      <alignment horizontal="centerContinuous" vertical="center"/>
      <protection/>
    </xf>
    <xf numFmtId="180" fontId="0" fillId="4" borderId="2" xfId="0" applyFont="1" applyFill="1" applyBorder="1" applyAlignment="1" applyProtection="1">
      <alignment horizontal="centerContinuous" vertical="center"/>
      <protection/>
    </xf>
    <xf numFmtId="180" fontId="0" fillId="4" borderId="50" xfId="0" applyFont="1" applyFill="1" applyBorder="1" applyAlignment="1" applyProtection="1">
      <alignment horizontal="centerContinuous" vertical="center"/>
      <protection/>
    </xf>
    <xf numFmtId="181" fontId="0" fillId="4" borderId="2" xfId="0" applyNumberFormat="1" applyFont="1" applyFill="1" applyBorder="1" applyAlignment="1" applyProtection="1">
      <alignment horizontal="centerContinuous" vertical="center"/>
      <protection/>
    </xf>
    <xf numFmtId="180" fontId="0" fillId="4" borderId="51" xfId="0" applyFont="1" applyFill="1" applyBorder="1" applyAlignment="1" applyProtection="1">
      <alignment horizontal="centerContinuous" vertical="center"/>
      <protection/>
    </xf>
    <xf numFmtId="180" fontId="0" fillId="4" borderId="3" xfId="0" applyFont="1" applyFill="1" applyBorder="1" applyAlignment="1" applyProtection="1">
      <alignment horizontal="centerContinuous" vertical="center"/>
      <protection/>
    </xf>
    <xf numFmtId="0" fontId="0" fillId="4" borderId="50" xfId="0" applyNumberFormat="1" applyFont="1" applyFill="1" applyBorder="1" applyAlignment="1" applyProtection="1">
      <alignment horizontal="centerContinuous"/>
      <protection/>
    </xf>
    <xf numFmtId="180" fontId="5" fillId="4" borderId="2" xfId="0" applyFont="1" applyFill="1" applyBorder="1" applyAlignment="1" applyProtection="1">
      <alignment horizontal="centerContinuous" vertical="center"/>
      <protection/>
    </xf>
    <xf numFmtId="180" fontId="0" fillId="4" borderId="52" xfId="0" applyFont="1" applyFill="1" applyBorder="1" applyAlignment="1" applyProtection="1">
      <alignment horizontal="centerContinuous" vertical="center"/>
      <protection/>
    </xf>
    <xf numFmtId="181" fontId="0" fillId="0" borderId="4" xfId="0" applyNumberFormat="1" applyFill="1" applyBorder="1" applyAlignment="1" applyProtection="1">
      <alignment/>
      <protection locked="0"/>
    </xf>
    <xf numFmtId="0" fontId="0" fillId="0" borderId="0" xfId="0" applyNumberFormat="1" applyBorder="1" applyAlignment="1">
      <alignment/>
    </xf>
    <xf numFmtId="0" fontId="4" fillId="4" borderId="15" xfId="0" applyNumberFormat="1" applyFont="1" applyFill="1" applyBorder="1" applyAlignment="1" applyProtection="1">
      <alignment horizontal="center"/>
      <protection/>
    </xf>
    <xf numFmtId="0" fontId="0" fillId="0" borderId="0" xfId="0" applyAlignment="1">
      <alignment/>
    </xf>
    <xf numFmtId="0" fontId="0" fillId="0" borderId="53" xfId="0" applyBorder="1" applyAlignment="1">
      <alignment horizontal="center"/>
    </xf>
    <xf numFmtId="0" fontId="0" fillId="0" borderId="54" xfId="0" applyBorder="1" applyAlignment="1">
      <alignment horizontal="center"/>
    </xf>
    <xf numFmtId="0" fontId="1" fillId="0" borderId="55" xfId="31" applyFont="1" applyBorder="1" applyAlignment="1">
      <alignment horizontal="center" vertical="center" textRotation="90" wrapText="1"/>
      <protection/>
    </xf>
    <xf numFmtId="0" fontId="0" fillId="0" borderId="56" xfId="0" applyBorder="1" applyAlignment="1">
      <alignment horizontal="center"/>
    </xf>
    <xf numFmtId="0" fontId="0" fillId="0" borderId="57" xfId="0" applyBorder="1" applyAlignment="1">
      <alignment horizontal="center"/>
    </xf>
    <xf numFmtId="0" fontId="4" fillId="0" borderId="58" xfId="31" applyFont="1" applyBorder="1" applyAlignment="1">
      <alignment horizontal="center"/>
      <protection/>
    </xf>
    <xf numFmtId="0" fontId="4" fillId="0" borderId="59" xfId="31" applyFont="1" applyBorder="1" applyAlignment="1">
      <alignment horizontal="center"/>
      <protection/>
    </xf>
    <xf numFmtId="49" fontId="0" fillId="0" borderId="60" xfId="0" applyNumberFormat="1" applyBorder="1" applyAlignment="1">
      <alignment/>
    </xf>
    <xf numFmtId="49" fontId="0" fillId="0" borderId="61" xfId="0" applyNumberFormat="1" applyBorder="1" applyAlignment="1">
      <alignment/>
    </xf>
    <xf numFmtId="180" fontId="0" fillId="4" borderId="38" xfId="0" applyFont="1" applyFill="1" applyBorder="1" applyAlignment="1" applyProtection="1">
      <alignment horizontal="center" vertical="center"/>
      <protection/>
    </xf>
    <xf numFmtId="180" fontId="0" fillId="4" borderId="18" xfId="0" applyFont="1" applyFill="1" applyBorder="1" applyAlignment="1" applyProtection="1">
      <alignment horizontal="center" vertical="center"/>
      <protection/>
    </xf>
    <xf numFmtId="180" fontId="0" fillId="4" borderId="24" xfId="0" applyFont="1" applyFill="1" applyBorder="1" applyAlignment="1" applyProtection="1">
      <alignment horizontal="center" vertical="center"/>
      <protection/>
    </xf>
    <xf numFmtId="182" fontId="0" fillId="4" borderId="51" xfId="0" applyNumberFormat="1" applyFont="1" applyFill="1" applyBorder="1" applyAlignment="1" applyProtection="1">
      <alignment horizontal="centerContinuous" vertical="center"/>
      <protection/>
    </xf>
    <xf numFmtId="182" fontId="0" fillId="4" borderId="2" xfId="0" applyNumberFormat="1" applyFont="1" applyFill="1" applyBorder="1" applyAlignment="1" applyProtection="1">
      <alignment horizontal="centerContinuous" vertical="center"/>
      <protection/>
    </xf>
    <xf numFmtId="2" fontId="0" fillId="0" borderId="0" xfId="0" applyNumberFormat="1" applyAlignment="1" applyProtection="1">
      <alignment/>
      <protection locked="0"/>
    </xf>
    <xf numFmtId="181" fontId="4" fillId="7" borderId="0" xfId="31" applyNumberFormat="1" applyFill="1">
      <alignment/>
      <protection/>
    </xf>
    <xf numFmtId="181" fontId="1" fillId="7" borderId="16" xfId="31" applyNumberFormat="1" applyFont="1" applyFill="1" applyBorder="1" applyAlignment="1">
      <alignment wrapText="1"/>
      <protection/>
    </xf>
    <xf numFmtId="181" fontId="1" fillId="7" borderId="20" xfId="31" applyNumberFormat="1" applyFont="1" applyFill="1" applyBorder="1" applyAlignment="1">
      <alignment horizontal="center" vertical="center" textRotation="90" wrapText="1"/>
      <protection/>
    </xf>
    <xf numFmtId="181" fontId="4" fillId="7" borderId="22" xfId="31" applyNumberFormat="1" applyFill="1" applyBorder="1" applyAlignment="1">
      <alignment wrapText="1"/>
      <protection/>
    </xf>
    <xf numFmtId="181" fontId="4" fillId="7" borderId="22" xfId="31" applyNumberFormat="1" applyFill="1" applyBorder="1">
      <alignment/>
      <protection/>
    </xf>
    <xf numFmtId="181" fontId="4" fillId="7" borderId="24" xfId="31" applyNumberFormat="1" applyFill="1" applyBorder="1">
      <alignment/>
      <protection/>
    </xf>
    <xf numFmtId="181" fontId="4" fillId="7" borderId="0" xfId="31" applyNumberFormat="1" applyFill="1" applyBorder="1">
      <alignment/>
      <protection/>
    </xf>
    <xf numFmtId="181" fontId="10" fillId="7" borderId="0" xfId="31" applyNumberFormat="1" applyFont="1" applyFill="1" applyAlignment="1">
      <alignment horizontal="centerContinuous" vertical="top"/>
      <protection/>
    </xf>
    <xf numFmtId="181" fontId="1" fillId="7" borderId="0" xfId="31" applyNumberFormat="1" applyFont="1" applyFill="1" applyBorder="1" applyAlignment="1">
      <alignment/>
      <protection/>
    </xf>
    <xf numFmtId="180" fontId="0" fillId="0" borderId="4" xfId="0" applyFill="1" applyBorder="1" applyAlignment="1" applyProtection="1">
      <alignment/>
      <protection locked="0"/>
    </xf>
    <xf numFmtId="180" fontId="0" fillId="0" borderId="29" xfId="0" applyFill="1" applyBorder="1" applyAlignment="1" applyProtection="1">
      <alignment horizontal="right"/>
      <protection locked="0"/>
    </xf>
    <xf numFmtId="180" fontId="0" fillId="4" borderId="62" xfId="0" applyFont="1" applyFill="1" applyBorder="1" applyAlignment="1" applyProtection="1">
      <alignment horizontal="centerContinuous" vertical="center"/>
      <protection/>
    </xf>
    <xf numFmtId="180" fontId="0" fillId="4" borderId="47" xfId="0" applyFont="1" applyFill="1" applyBorder="1" applyAlignment="1" applyProtection="1">
      <alignment horizontal="centerContinuous" vertical="center"/>
      <protection/>
    </xf>
    <xf numFmtId="2" fontId="0" fillId="4" borderId="63" xfId="0" applyNumberFormat="1" applyFont="1" applyFill="1" applyBorder="1" applyAlignment="1" applyProtection="1">
      <alignment horizontal="centerContinuous" vertical="center"/>
      <protection/>
    </xf>
    <xf numFmtId="2" fontId="0" fillId="4" borderId="40" xfId="0" applyNumberFormat="1" applyFont="1" applyFill="1" applyBorder="1" applyAlignment="1" applyProtection="1">
      <alignment horizontal="centerContinuous"/>
      <protection/>
    </xf>
    <xf numFmtId="180" fontId="0" fillId="4" borderId="2" xfId="0" applyFont="1" applyFill="1" applyBorder="1" applyAlignment="1" applyProtection="1">
      <alignment horizontal="center" vertical="center"/>
      <protection/>
    </xf>
    <xf numFmtId="180" fontId="0" fillId="4" borderId="64" xfId="0" applyFont="1" applyFill="1" applyBorder="1" applyAlignment="1" applyProtection="1">
      <alignment horizontal="center" vertical="center"/>
      <protection/>
    </xf>
    <xf numFmtId="183" fontId="0" fillId="0" borderId="0" xfId="0" applyNumberFormat="1" applyAlignment="1">
      <alignment horizontal="right"/>
    </xf>
    <xf numFmtId="183" fontId="0" fillId="0" borderId="0" xfId="0" applyNumberFormat="1" applyAlignment="1">
      <alignment/>
    </xf>
    <xf numFmtId="20" fontId="0" fillId="0" borderId="0" xfId="0" applyNumberFormat="1" applyAlignment="1">
      <alignment/>
    </xf>
    <xf numFmtId="20" fontId="0" fillId="0" borderId="0" xfId="0" applyNumberFormat="1" applyAlignment="1" quotePrefix="1">
      <alignment/>
    </xf>
    <xf numFmtId="180" fontId="0" fillId="0" borderId="0" xfId="0" applyAlignment="1">
      <alignment horizontal="left"/>
    </xf>
    <xf numFmtId="183" fontId="0" fillId="0" borderId="0" xfId="0" applyNumberFormat="1" applyAlignment="1">
      <alignment horizontal="left"/>
    </xf>
    <xf numFmtId="2" fontId="0" fillId="4" borderId="16" xfId="0" applyNumberFormat="1" applyFont="1" applyFill="1" applyBorder="1" applyAlignment="1" applyProtection="1">
      <alignment horizontal="centerContinuous" vertical="center"/>
      <protection/>
    </xf>
    <xf numFmtId="2" fontId="0" fillId="4" borderId="47" xfId="0" applyNumberFormat="1" applyFont="1" applyFill="1" applyBorder="1" applyAlignment="1" applyProtection="1">
      <alignment horizontal="centerContinuous" vertical="center"/>
      <protection/>
    </xf>
    <xf numFmtId="0" fontId="1" fillId="0" borderId="36" xfId="31" applyFont="1" applyBorder="1" applyAlignment="1">
      <alignment horizontal="centerContinuous" wrapText="1"/>
      <protection/>
    </xf>
    <xf numFmtId="0" fontId="1" fillId="0" borderId="44" xfId="31" applyFont="1" applyBorder="1" applyAlignment="1">
      <alignment horizontal="centerContinuous"/>
      <protection/>
    </xf>
    <xf numFmtId="0" fontId="1" fillId="0" borderId="65" xfId="31" applyFont="1" applyBorder="1" applyAlignment="1">
      <alignment horizontal="center" vertical="center" textRotation="90" wrapText="1"/>
      <protection/>
    </xf>
    <xf numFmtId="0" fontId="4" fillId="0" borderId="66" xfId="31" applyBorder="1" applyAlignment="1">
      <alignment wrapText="1"/>
      <protection/>
    </xf>
    <xf numFmtId="0" fontId="4" fillId="0" borderId="66" xfId="31" applyBorder="1">
      <alignment/>
      <protection/>
    </xf>
    <xf numFmtId="0" fontId="4" fillId="0" borderId="42" xfId="31" applyBorder="1">
      <alignment/>
      <protection/>
    </xf>
    <xf numFmtId="0" fontId="1" fillId="0" borderId="12" xfId="31" applyFont="1" applyBorder="1" applyAlignment="1">
      <alignment horizontal="centerContinuous" wrapText="1"/>
      <protection/>
    </xf>
    <xf numFmtId="0" fontId="1" fillId="0" borderId="2" xfId="31" applyFont="1" applyBorder="1" applyAlignment="1">
      <alignment horizontal="centerContinuous" wrapText="1"/>
      <protection/>
    </xf>
    <xf numFmtId="0" fontId="1" fillId="0" borderId="3" xfId="31" applyFont="1" applyBorder="1" applyAlignment="1">
      <alignment horizontal="centerContinuous" wrapText="1"/>
      <protection/>
    </xf>
    <xf numFmtId="0" fontId="5" fillId="0" borderId="50" xfId="0" applyFont="1" applyBorder="1" applyAlignment="1">
      <alignment horizontal="left" vertical="center"/>
    </xf>
    <xf numFmtId="0" fontId="0" fillId="0" borderId="3" xfId="0" applyBorder="1" applyAlignment="1">
      <alignment horizontal="center" vertical="center" textRotation="90"/>
    </xf>
    <xf numFmtId="1" fontId="4" fillId="4" borderId="27" xfId="0" applyNumberFormat="1" applyFont="1" applyFill="1" applyBorder="1" applyAlignment="1" applyProtection="1">
      <alignment horizontal="center"/>
      <protection/>
    </xf>
    <xf numFmtId="2" fontId="4" fillId="3" borderId="2" xfId="0" applyNumberFormat="1" applyFont="1" applyFill="1" applyBorder="1" applyAlignment="1" applyProtection="1">
      <alignment vertical="center"/>
      <protection/>
    </xf>
    <xf numFmtId="2" fontId="4" fillId="3" borderId="3" xfId="0" applyNumberFormat="1" applyFont="1" applyFill="1" applyBorder="1" applyAlignment="1" applyProtection="1">
      <alignment horizontal="right"/>
      <protection/>
    </xf>
    <xf numFmtId="180" fontId="1" fillId="4" borderId="2" xfId="0" applyFont="1" applyFill="1" applyBorder="1" applyAlignment="1" applyProtection="1">
      <alignment vertical="center"/>
      <protection/>
    </xf>
    <xf numFmtId="0" fontId="4" fillId="4" borderId="2" xfId="0" applyNumberFormat="1" applyFont="1" applyFill="1" applyBorder="1" applyAlignment="1" applyProtection="1">
      <alignment horizontal="left"/>
      <protection/>
    </xf>
    <xf numFmtId="0" fontId="1" fillId="4" borderId="2" xfId="0" applyNumberFormat="1" applyFont="1" applyFill="1" applyBorder="1" applyAlignment="1" applyProtection="1">
      <alignment horizontal="left"/>
      <protection/>
    </xf>
    <xf numFmtId="0" fontId="1" fillId="4" borderId="2" xfId="0" applyNumberFormat="1" applyFont="1" applyFill="1" applyBorder="1" applyAlignment="1" applyProtection="1">
      <alignment horizontal="center"/>
      <protection/>
    </xf>
    <xf numFmtId="1" fontId="1" fillId="4" borderId="67" xfId="0" applyNumberFormat="1" applyFont="1" applyFill="1" applyBorder="1" applyAlignment="1" applyProtection="1">
      <alignment horizontal="center"/>
      <protection/>
    </xf>
    <xf numFmtId="181" fontId="4" fillId="4" borderId="60" xfId="0" applyNumberFormat="1" applyFont="1" applyFill="1" applyBorder="1" applyAlignment="1" applyProtection="1">
      <alignment horizontal="centerContinuous"/>
      <protection/>
    </xf>
    <xf numFmtId="181" fontId="1" fillId="4" borderId="61" xfId="0" applyNumberFormat="1" applyFont="1" applyFill="1" applyBorder="1" applyAlignment="1" applyProtection="1">
      <alignment horizontal="centerContinuous"/>
      <protection/>
    </xf>
    <xf numFmtId="0" fontId="1" fillId="4" borderId="61" xfId="0" applyNumberFormat="1" applyFont="1" applyFill="1" applyBorder="1" applyAlignment="1" applyProtection="1">
      <alignment horizontal="centerContinuous"/>
      <protection/>
    </xf>
    <xf numFmtId="0" fontId="4" fillId="4" borderId="44" xfId="0" applyNumberFormat="1" applyFont="1" applyFill="1" applyBorder="1" applyAlignment="1" applyProtection="1">
      <alignment horizontal="center"/>
      <protection/>
    </xf>
    <xf numFmtId="0" fontId="4" fillId="4" borderId="60" xfId="0" applyNumberFormat="1" applyFont="1" applyFill="1" applyBorder="1" applyAlignment="1" applyProtection="1">
      <alignment horizontal="center"/>
      <protection/>
    </xf>
    <xf numFmtId="0" fontId="4" fillId="4" borderId="68" xfId="0" applyNumberFormat="1" applyFont="1" applyFill="1" applyBorder="1" applyAlignment="1" applyProtection="1">
      <alignment horizontal="left"/>
      <protection/>
    </xf>
    <xf numFmtId="2" fontId="4" fillId="10" borderId="64" xfId="0" applyNumberFormat="1" applyFont="1" applyFill="1" applyBorder="1" applyAlignment="1" applyProtection="1">
      <alignment horizontal="center" vertical="center"/>
      <protection/>
    </xf>
    <xf numFmtId="2" fontId="4" fillId="10" borderId="10" xfId="0" applyNumberFormat="1" applyFont="1" applyFill="1" applyBorder="1" applyAlignment="1" applyProtection="1">
      <alignment horizontal="center" vertical="center"/>
      <protection/>
    </xf>
    <xf numFmtId="180" fontId="4" fillId="10" borderId="2" xfId="0" applyFont="1" applyFill="1" applyBorder="1" applyAlignment="1" applyProtection="1">
      <alignment horizontal="left"/>
      <protection/>
    </xf>
    <xf numFmtId="0" fontId="4" fillId="10" borderId="2" xfId="0" applyNumberFormat="1" applyFont="1" applyFill="1" applyBorder="1" applyAlignment="1" applyProtection="1">
      <alignment horizontal="left"/>
      <protection/>
    </xf>
    <xf numFmtId="180" fontId="4" fillId="10" borderId="2" xfId="0" applyFont="1" applyFill="1" applyBorder="1" applyAlignment="1" applyProtection="1">
      <alignment horizontal="left" vertical="center"/>
      <protection/>
    </xf>
    <xf numFmtId="180" fontId="4" fillId="10" borderId="3" xfId="0" applyFont="1" applyFill="1" applyBorder="1" applyAlignment="1" applyProtection="1">
      <alignment horizontal="left" vertical="center"/>
      <protection/>
    </xf>
    <xf numFmtId="182" fontId="4" fillId="10" borderId="2" xfId="0" applyNumberFormat="1" applyFont="1" applyFill="1" applyBorder="1" applyAlignment="1" applyProtection="1">
      <alignment horizontal="left" vertical="center"/>
      <protection/>
    </xf>
    <xf numFmtId="180" fontId="4" fillId="10" borderId="67" xfId="0" applyFont="1" applyFill="1" applyBorder="1" applyAlignment="1" applyProtection="1">
      <alignment horizontal="left" vertical="center"/>
      <protection/>
    </xf>
    <xf numFmtId="0" fontId="1" fillId="10" borderId="2" xfId="0" applyNumberFormat="1" applyFont="1" applyFill="1" applyBorder="1" applyAlignment="1" applyProtection="1">
      <alignment horizontal="center"/>
      <protection/>
    </xf>
    <xf numFmtId="180" fontId="1" fillId="10" borderId="61" xfId="0" applyFont="1" applyFill="1" applyBorder="1" applyAlignment="1" applyProtection="1">
      <alignment vertical="center"/>
      <protection/>
    </xf>
    <xf numFmtId="0" fontId="1" fillId="10" borderId="2" xfId="0" applyNumberFormat="1" applyFont="1" applyFill="1" applyBorder="1" applyAlignment="1" applyProtection="1">
      <alignment/>
      <protection/>
    </xf>
    <xf numFmtId="180" fontId="4" fillId="2" borderId="0" xfId="0" applyFont="1" applyFill="1" applyBorder="1" applyAlignment="1" applyProtection="1">
      <alignment/>
      <protection locked="0"/>
    </xf>
    <xf numFmtId="0" fontId="4" fillId="4" borderId="4" xfId="0" applyNumberFormat="1" applyFont="1" applyFill="1" applyBorder="1" applyAlignment="1" applyProtection="1">
      <alignment horizontal="center" vertical="center"/>
      <protection/>
    </xf>
    <xf numFmtId="180" fontId="4" fillId="4" borderId="4" xfId="0" applyFont="1" applyFill="1" applyBorder="1" applyAlignment="1" applyProtection="1">
      <alignment horizontal="center" vertical="center"/>
      <protection/>
    </xf>
    <xf numFmtId="182" fontId="4" fillId="4" borderId="4" xfId="0" applyNumberFormat="1" applyFont="1" applyFill="1" applyBorder="1" applyAlignment="1" applyProtection="1">
      <alignment horizontal="center" vertical="center"/>
      <protection/>
    </xf>
    <xf numFmtId="181" fontId="4" fillId="4" borderId="8" xfId="0" applyNumberFormat="1" applyFont="1" applyFill="1" applyBorder="1" applyAlignment="1" applyProtection="1">
      <alignment horizontal="center" vertical="center"/>
      <protection/>
    </xf>
    <xf numFmtId="181" fontId="4" fillId="4" borderId="4" xfId="0" applyNumberFormat="1" applyFont="1" applyFill="1" applyBorder="1" applyAlignment="1" applyProtection="1">
      <alignment horizontal="center" vertical="center"/>
      <protection/>
    </xf>
    <xf numFmtId="180" fontId="4" fillId="4" borderId="13" xfId="0" applyFont="1" applyFill="1" applyBorder="1" applyAlignment="1" applyProtection="1">
      <alignment horizontal="center" vertical="center"/>
      <protection/>
    </xf>
    <xf numFmtId="180" fontId="4" fillId="4" borderId="10" xfId="0" applyFont="1" applyFill="1" applyBorder="1" applyAlignment="1" applyProtection="1">
      <alignment horizontal="center" vertical="center"/>
      <protection/>
    </xf>
    <xf numFmtId="181" fontId="4" fillId="8" borderId="4" xfId="0" applyNumberFormat="1" applyFont="1" applyFill="1" applyBorder="1" applyAlignment="1" applyProtection="1">
      <alignment horizontal="center" vertical="center"/>
      <protection/>
    </xf>
    <xf numFmtId="182" fontId="4" fillId="4" borderId="31" xfId="0" applyNumberFormat="1" applyFont="1" applyFill="1" applyBorder="1" applyAlignment="1" applyProtection="1">
      <alignment horizontal="center" vertical="center"/>
      <protection/>
    </xf>
    <xf numFmtId="180" fontId="4" fillId="4" borderId="9" xfId="0" applyFont="1" applyFill="1" applyBorder="1" applyAlignment="1" applyProtection="1">
      <alignment horizontal="center" vertical="center"/>
      <protection/>
    </xf>
    <xf numFmtId="180" fontId="4" fillId="4" borderId="31" xfId="0" applyFont="1" applyFill="1" applyBorder="1" applyAlignment="1" applyProtection="1">
      <alignment horizontal="left" vertical="center"/>
      <protection/>
    </xf>
    <xf numFmtId="43" fontId="4" fillId="4" borderId="4" xfId="15" applyNumberFormat="1" applyFont="1" applyFill="1" applyBorder="1" applyAlignment="1" applyProtection="1">
      <alignment horizontal="center" vertical="center"/>
      <protection/>
    </xf>
    <xf numFmtId="1" fontId="4" fillId="4" borderId="4" xfId="0" applyNumberFormat="1" applyFont="1" applyFill="1" applyBorder="1" applyAlignment="1" applyProtection="1">
      <alignment horizontal="center" vertical="center"/>
      <protection/>
    </xf>
    <xf numFmtId="0" fontId="4" fillId="4" borderId="9" xfId="0" applyNumberFormat="1" applyFont="1" applyFill="1" applyBorder="1" applyAlignment="1" applyProtection="1">
      <alignment horizontal="center"/>
      <protection/>
    </xf>
    <xf numFmtId="0" fontId="4" fillId="4" borderId="10" xfId="0" applyNumberFormat="1" applyFont="1" applyFill="1" applyBorder="1" applyAlignment="1" applyProtection="1">
      <alignment horizontal="center"/>
      <protection/>
    </xf>
    <xf numFmtId="0" fontId="4" fillId="4" borderId="17" xfId="0" applyNumberFormat="1" applyFont="1" applyFill="1" applyBorder="1" applyAlignment="1" applyProtection="1">
      <alignment horizontal="center"/>
      <protection/>
    </xf>
    <xf numFmtId="0" fontId="4" fillId="4" borderId="31" xfId="0" applyNumberFormat="1" applyFont="1" applyFill="1" applyBorder="1" applyAlignment="1" applyProtection="1">
      <alignment horizontal="center"/>
      <protection/>
    </xf>
    <xf numFmtId="0" fontId="4" fillId="4" borderId="13" xfId="0" applyNumberFormat="1" applyFont="1" applyFill="1" applyBorder="1" applyAlignment="1" applyProtection="1">
      <alignment horizontal="center"/>
      <protection/>
    </xf>
    <xf numFmtId="0" fontId="4" fillId="4" borderId="0" xfId="0" applyNumberFormat="1" applyFont="1" applyFill="1" applyBorder="1" applyAlignment="1" applyProtection="1">
      <alignment horizontal="center"/>
      <protection/>
    </xf>
    <xf numFmtId="2" fontId="4" fillId="10" borderId="4" xfId="0" applyNumberFormat="1" applyFont="1" applyFill="1" applyBorder="1" applyAlignment="1" applyProtection="1">
      <alignment horizontal="center" vertical="center"/>
      <protection/>
    </xf>
    <xf numFmtId="180" fontId="4" fillId="10" borderId="8" xfId="0" applyFont="1" applyFill="1" applyBorder="1" applyAlignment="1" applyProtection="1">
      <alignment horizontal="center" vertical="center"/>
      <protection/>
    </xf>
    <xf numFmtId="180" fontId="4" fillId="10" borderId="4" xfId="0" applyFont="1" applyFill="1" applyBorder="1" applyAlignment="1" applyProtection="1">
      <alignment horizontal="center" vertical="center"/>
      <protection/>
    </xf>
    <xf numFmtId="180" fontId="4" fillId="10" borderId="9" xfId="0" applyFont="1" applyFill="1" applyBorder="1" applyAlignment="1" applyProtection="1">
      <alignment horizontal="center" vertical="center"/>
      <protection/>
    </xf>
    <xf numFmtId="182" fontId="4" fillId="10" borderId="4" xfId="0" applyNumberFormat="1" applyFont="1" applyFill="1" applyBorder="1" applyAlignment="1" applyProtection="1">
      <alignment horizontal="center" vertical="center"/>
      <protection/>
    </xf>
    <xf numFmtId="0" fontId="4" fillId="10" borderId="10" xfId="0" applyNumberFormat="1" applyFont="1" applyFill="1" applyBorder="1" applyAlignment="1" applyProtection="1">
      <alignment horizontal="center"/>
      <protection/>
    </xf>
    <xf numFmtId="2" fontId="4" fillId="4" borderId="5" xfId="0" applyNumberFormat="1" applyFont="1" applyFill="1" applyBorder="1" applyAlignment="1" applyProtection="1">
      <alignment horizontal="right" vertical="top"/>
      <protection/>
    </xf>
    <xf numFmtId="2" fontId="4" fillId="4" borderId="6" xfId="0" applyNumberFormat="1" applyFont="1" applyFill="1" applyBorder="1" applyAlignment="1" applyProtection="1">
      <alignment horizontal="right" vertical="top"/>
      <protection/>
    </xf>
    <xf numFmtId="185" fontId="4" fillId="4" borderId="4" xfId="15" applyNumberFormat="1" applyFont="1" applyFill="1" applyBorder="1" applyAlignment="1" applyProtection="1" quotePrefix="1">
      <alignment horizontal="center" vertical="center"/>
      <protection/>
    </xf>
    <xf numFmtId="185" fontId="4" fillId="4" borderId="4" xfId="15" applyNumberFormat="1" applyFont="1" applyFill="1" applyBorder="1" applyAlignment="1" applyProtection="1">
      <alignment horizontal="center" vertical="center"/>
      <protection/>
    </xf>
    <xf numFmtId="1" fontId="4" fillId="4" borderId="17" xfId="0" applyNumberFormat="1" applyFont="1" applyFill="1" applyBorder="1" applyAlignment="1" applyProtection="1">
      <alignment horizontal="center" vertical="center"/>
      <protection/>
    </xf>
    <xf numFmtId="0" fontId="4" fillId="4" borderId="4" xfId="0" applyNumberFormat="1" applyFont="1" applyFill="1" applyBorder="1" applyAlignment="1" applyProtection="1">
      <alignment horizontal="center"/>
      <protection/>
    </xf>
    <xf numFmtId="0" fontId="4" fillId="10" borderId="4" xfId="0" applyNumberFormat="1" applyFont="1" applyFill="1" applyBorder="1" applyAlignment="1" applyProtection="1">
      <alignment horizontal="center" vertical="center"/>
      <protection/>
    </xf>
    <xf numFmtId="0" fontId="4" fillId="10" borderId="69"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vertical="center"/>
      <protection/>
    </xf>
    <xf numFmtId="181" fontId="4" fillId="4" borderId="7" xfId="0" applyNumberFormat="1" applyFont="1" applyFill="1" applyBorder="1" applyAlignment="1" applyProtection="1">
      <alignment horizontal="center" vertical="center"/>
      <protection/>
    </xf>
    <xf numFmtId="182" fontId="4" fillId="4" borderId="7" xfId="0" applyNumberFormat="1" applyFont="1" applyFill="1" applyBorder="1" applyAlignment="1" applyProtection="1">
      <alignment horizontal="center" vertical="center"/>
      <protection/>
    </xf>
    <xf numFmtId="0" fontId="4" fillId="4" borderId="11" xfId="0" applyNumberFormat="1" applyFont="1" applyFill="1" applyBorder="1" applyAlignment="1" applyProtection="1">
      <alignment horizontal="center"/>
      <protection/>
    </xf>
    <xf numFmtId="0" fontId="4" fillId="4" borderId="42" xfId="0" applyNumberFormat="1" applyFont="1" applyFill="1" applyBorder="1" applyAlignment="1" applyProtection="1">
      <alignment horizontal="center"/>
      <protection/>
    </xf>
    <xf numFmtId="0" fontId="4" fillId="4" borderId="14" xfId="0" applyNumberFormat="1" applyFont="1" applyFill="1" applyBorder="1" applyAlignment="1" applyProtection="1">
      <alignment horizontal="center"/>
      <protection/>
    </xf>
    <xf numFmtId="2" fontId="4" fillId="10" borderId="61" xfId="0" applyNumberFormat="1" applyFont="1" applyFill="1" applyBorder="1" applyAlignment="1" applyProtection="1">
      <alignment horizontal="center" vertical="center"/>
      <protection/>
    </xf>
    <xf numFmtId="0" fontId="13" fillId="0" borderId="0" xfId="31" applyFont="1">
      <alignment/>
      <protection/>
    </xf>
    <xf numFmtId="180" fontId="14" fillId="0" borderId="0" xfId="0" applyFont="1" applyAlignment="1">
      <alignment/>
    </xf>
    <xf numFmtId="0" fontId="4" fillId="0" borderId="21" xfId="31" applyFont="1" applyBorder="1" applyAlignment="1">
      <alignment horizontal="left" wrapText="1"/>
      <protection/>
    </xf>
    <xf numFmtId="0" fontId="4" fillId="0" borderId="22" xfId="31" applyFont="1" applyBorder="1" applyAlignment="1">
      <alignment horizontal="center" wrapText="1"/>
      <protection/>
    </xf>
    <xf numFmtId="0" fontId="4" fillId="0" borderId="22" xfId="31" applyBorder="1" applyAlignment="1">
      <alignment horizontal="center" wrapText="1"/>
      <protection/>
    </xf>
    <xf numFmtId="0" fontId="4" fillId="0" borderId="33" xfId="31" applyNumberFormat="1" applyFont="1" applyBorder="1" applyAlignment="1">
      <alignment horizontal="center"/>
      <protection/>
    </xf>
    <xf numFmtId="0" fontId="4" fillId="0" borderId="34" xfId="31" applyNumberFormat="1" applyFont="1" applyBorder="1" applyAlignment="1">
      <alignment horizontal="center"/>
      <protection/>
    </xf>
    <xf numFmtId="0" fontId="4" fillId="0" borderId="14" xfId="31" applyFont="1" applyBorder="1" applyAlignment="1">
      <alignment horizontal="left"/>
      <protection/>
    </xf>
    <xf numFmtId="0" fontId="4" fillId="0" borderId="21" xfId="31" applyFont="1" applyBorder="1" applyAlignment="1">
      <alignment horizontal="left"/>
      <protection/>
    </xf>
    <xf numFmtId="0" fontId="0" fillId="4" borderId="9" xfId="0" applyNumberFormat="1" applyFont="1" applyFill="1" applyBorder="1" applyAlignment="1" applyProtection="1">
      <alignment horizontal="center"/>
      <protection/>
    </xf>
    <xf numFmtId="180" fontId="15" fillId="0" borderId="0" xfId="0" applyFont="1" applyAlignment="1">
      <alignment horizontal="justify"/>
    </xf>
    <xf numFmtId="180" fontId="18" fillId="0" borderId="0" xfId="0" applyFont="1" applyAlignment="1">
      <alignment horizontal="justify"/>
    </xf>
    <xf numFmtId="180" fontId="15" fillId="0" borderId="0" xfId="0" applyFont="1" applyAlignment="1">
      <alignment wrapText="1"/>
    </xf>
    <xf numFmtId="180" fontId="20" fillId="0" borderId="0" xfId="0" applyFont="1" applyAlignment="1">
      <alignment horizontal="justify"/>
    </xf>
    <xf numFmtId="180" fontId="5" fillId="0" borderId="0" xfId="0" applyFont="1" applyAlignment="1">
      <alignment/>
    </xf>
    <xf numFmtId="180" fontId="21" fillId="0" borderId="0" xfId="0" applyFont="1" applyAlignment="1">
      <alignment/>
    </xf>
    <xf numFmtId="180" fontId="22" fillId="0" borderId="0" xfId="0" applyFont="1" applyAlignment="1">
      <alignment/>
    </xf>
    <xf numFmtId="180" fontId="0" fillId="0" borderId="0" xfId="0" applyAlignment="1">
      <alignment/>
    </xf>
    <xf numFmtId="180" fontId="22" fillId="0" borderId="0" xfId="0" applyFont="1" applyAlignment="1">
      <alignment/>
    </xf>
    <xf numFmtId="0" fontId="4" fillId="2" borderId="0" xfId="0" applyNumberFormat="1" applyFont="1" applyFill="1" applyBorder="1" applyAlignment="1" applyProtection="1">
      <alignment horizontal="right"/>
      <protection locked="0"/>
    </xf>
    <xf numFmtId="2" fontId="4" fillId="2" borderId="0" xfId="0" applyNumberFormat="1" applyFont="1" applyFill="1" applyBorder="1" applyAlignment="1" applyProtection="1">
      <alignment horizontal="right"/>
      <protection locked="0"/>
    </xf>
    <xf numFmtId="0" fontId="4" fillId="2" borderId="0" xfId="0" applyNumberFormat="1" applyFont="1" applyFill="1" applyBorder="1" applyAlignment="1" applyProtection="1">
      <alignment/>
      <protection locked="0"/>
    </xf>
    <xf numFmtId="1" fontId="4" fillId="2" borderId="0" xfId="0" applyNumberFormat="1" applyFont="1" applyFill="1" applyBorder="1" applyAlignment="1" applyProtection="1">
      <alignment horizontal="right"/>
      <protection locked="0"/>
    </xf>
    <xf numFmtId="180" fontId="4" fillId="2" borderId="0" xfId="0" applyFont="1" applyFill="1" applyBorder="1" applyAlignment="1" applyProtection="1">
      <alignment horizontal="left"/>
      <protection locked="0"/>
    </xf>
    <xf numFmtId="182" fontId="4" fillId="2" borderId="0" xfId="0" applyNumberFormat="1" applyFont="1" applyFill="1" applyBorder="1" applyAlignment="1" applyProtection="1">
      <alignment horizontal="center"/>
      <protection locked="0"/>
    </xf>
    <xf numFmtId="2" fontId="4" fillId="2" borderId="0" xfId="0" applyNumberFormat="1" applyFont="1" applyFill="1" applyBorder="1" applyAlignment="1" applyProtection="1">
      <alignment horizontal="center"/>
      <protection locked="0"/>
    </xf>
    <xf numFmtId="181" fontId="4" fillId="2" borderId="0" xfId="0" applyNumberFormat="1" applyFont="1" applyFill="1" applyBorder="1" applyAlignment="1" applyProtection="1">
      <alignment/>
      <protection locked="0"/>
    </xf>
    <xf numFmtId="180" fontId="4" fillId="2" borderId="0" xfId="0" applyFont="1" applyFill="1" applyBorder="1" applyAlignment="1" applyProtection="1">
      <alignment horizontal="center"/>
      <protection locked="0"/>
    </xf>
    <xf numFmtId="182" fontId="4" fillId="2" borderId="0" xfId="0" applyNumberFormat="1" applyFont="1" applyFill="1" applyBorder="1" applyAlignment="1" applyProtection="1">
      <alignment/>
      <protection locked="0"/>
    </xf>
    <xf numFmtId="180" fontId="4" fillId="2" borderId="0" xfId="0" applyFont="1" applyFill="1" applyBorder="1" applyAlignment="1" applyProtection="1">
      <alignment horizontal="right"/>
      <protection locked="0"/>
    </xf>
    <xf numFmtId="180" fontId="2" fillId="2" borderId="0" xfId="0" applyFont="1" applyFill="1" applyBorder="1" applyAlignment="1" applyProtection="1">
      <alignment horizontal="center"/>
      <protection locked="0"/>
    </xf>
    <xf numFmtId="181" fontId="4" fillId="2" borderId="0" xfId="0" applyNumberFormat="1" applyFont="1" applyFill="1" applyBorder="1" applyAlignment="1" applyProtection="1">
      <alignment horizontal="center"/>
      <protection locked="0"/>
    </xf>
    <xf numFmtId="43" fontId="4" fillId="2" borderId="0" xfId="15" applyNumberFormat="1" applyFont="1" applyFill="1" applyBorder="1" applyAlignment="1" applyProtection="1">
      <alignment/>
      <protection locked="0"/>
    </xf>
    <xf numFmtId="43" fontId="4" fillId="2" borderId="0" xfId="15" applyFont="1" applyFill="1" applyBorder="1" applyAlignment="1" applyProtection="1">
      <alignment/>
      <protection locked="0"/>
    </xf>
    <xf numFmtId="1" fontId="4" fillId="2" borderId="0" xfId="0" applyNumberFormat="1" applyFont="1" applyFill="1" applyBorder="1" applyAlignment="1" applyProtection="1">
      <alignment horizontal="center"/>
      <protection locked="0"/>
    </xf>
    <xf numFmtId="2" fontId="4" fillId="2" borderId="0" xfId="0" applyNumberFormat="1" applyFont="1" applyFill="1" applyBorder="1" applyAlignment="1" applyProtection="1">
      <alignment/>
      <protection locked="0"/>
    </xf>
    <xf numFmtId="2" fontId="4" fillId="0" borderId="0" xfId="0" applyNumberFormat="1" applyFont="1" applyFill="1" applyBorder="1" applyAlignment="1" applyProtection="1">
      <alignment horizontal="center"/>
      <protection locked="0"/>
    </xf>
    <xf numFmtId="181" fontId="4" fillId="2" borderId="0" xfId="0" applyNumberFormat="1" applyFont="1" applyFill="1" applyBorder="1" applyAlignment="1" applyProtection="1">
      <alignment horizontal="right"/>
      <protection locked="0"/>
    </xf>
    <xf numFmtId="180" fontId="4" fillId="2" borderId="0" xfId="0" applyFont="1" applyFill="1" applyBorder="1" applyAlignment="1" applyProtection="1">
      <alignment/>
      <protection/>
    </xf>
    <xf numFmtId="180" fontId="23" fillId="2" borderId="0" xfId="0" applyFont="1" applyFill="1" applyBorder="1" applyAlignment="1" applyProtection="1">
      <alignment horizontal="left" vertical="top" wrapText="1"/>
      <protection locked="0"/>
    </xf>
    <xf numFmtId="0" fontId="23" fillId="2" borderId="0" xfId="0" applyNumberFormat="1" applyFont="1" applyFill="1" applyBorder="1" applyAlignment="1" applyProtection="1">
      <alignment horizontal="left" vertical="top" wrapText="1"/>
      <protection locked="0"/>
    </xf>
    <xf numFmtId="182" fontId="23" fillId="2" borderId="0" xfId="0" applyNumberFormat="1" applyFont="1" applyFill="1" applyBorder="1" applyAlignment="1" applyProtection="1">
      <alignment horizontal="left" vertical="top" wrapText="1"/>
      <protection locked="0"/>
    </xf>
    <xf numFmtId="180" fontId="23" fillId="2" borderId="0" xfId="0" applyFont="1" applyFill="1" applyBorder="1" applyAlignment="1" applyProtection="1">
      <alignment horizontal="center" vertical="top" wrapText="1"/>
      <protection locked="0"/>
    </xf>
    <xf numFmtId="181" fontId="23" fillId="2" borderId="0" xfId="0" applyNumberFormat="1" applyFont="1" applyFill="1" applyBorder="1" applyAlignment="1" applyProtection="1">
      <alignment horizontal="left" vertical="top" wrapText="1"/>
      <protection locked="0"/>
    </xf>
    <xf numFmtId="1" fontId="23" fillId="2" borderId="0" xfId="0" applyNumberFormat="1" applyFont="1" applyFill="1" applyBorder="1" applyAlignment="1" applyProtection="1">
      <alignment horizontal="left" vertical="top" wrapText="1"/>
      <protection locked="0"/>
    </xf>
    <xf numFmtId="180" fontId="23" fillId="0" borderId="0" xfId="0" applyFont="1" applyFill="1" applyBorder="1" applyAlignment="1" applyProtection="1">
      <alignment horizontal="left" vertical="top" wrapText="1"/>
      <protection locked="0"/>
    </xf>
    <xf numFmtId="2" fontId="4" fillId="2" borderId="70" xfId="0" applyNumberFormat="1" applyFont="1" applyFill="1" applyBorder="1" applyAlignment="1" applyProtection="1">
      <alignment horizontal="left"/>
      <protection hidden="1" locked="0"/>
    </xf>
    <xf numFmtId="2" fontId="4" fillId="2" borderId="70" xfId="0" applyNumberFormat="1" applyFont="1" applyFill="1" applyBorder="1" applyAlignment="1" applyProtection="1">
      <alignment horizontal="right"/>
      <protection hidden="1" locked="0"/>
    </xf>
    <xf numFmtId="2" fontId="4" fillId="2" borderId="71" xfId="0" applyNumberFormat="1" applyFont="1" applyFill="1" applyBorder="1" applyAlignment="1" applyProtection="1">
      <alignment horizontal="right"/>
      <protection hidden="1" locked="0"/>
    </xf>
    <xf numFmtId="0" fontId="4" fillId="2" borderId="70" xfId="0" applyNumberFormat="1" applyFont="1" applyFill="1" applyBorder="1" applyAlignment="1" applyProtection="1">
      <alignment horizontal="left"/>
      <protection hidden="1" locked="0"/>
    </xf>
    <xf numFmtId="182" fontId="4" fillId="2" borderId="71" xfId="0" applyNumberFormat="1" applyFont="1" applyFill="1" applyBorder="1" applyAlignment="1" applyProtection="1">
      <alignment horizontal="right"/>
      <protection hidden="1" locked="0"/>
    </xf>
    <xf numFmtId="2" fontId="4" fillId="2" borderId="72" xfId="0" applyNumberFormat="1" applyFont="1" applyFill="1" applyBorder="1" applyAlignment="1" applyProtection="1">
      <alignment horizontal="left"/>
      <protection hidden="1" locked="0"/>
    </xf>
    <xf numFmtId="182" fontId="4" fillId="2" borderId="73" xfId="0" applyNumberFormat="1" applyFont="1" applyFill="1" applyBorder="1" applyAlignment="1" applyProtection="1">
      <alignment horizontal="right"/>
      <protection hidden="1" locked="0"/>
    </xf>
    <xf numFmtId="182" fontId="4" fillId="2" borderId="74" xfId="0" applyNumberFormat="1" applyFont="1" applyFill="1" applyBorder="1" applyAlignment="1" applyProtection="1">
      <alignment horizontal="right"/>
      <protection hidden="1" locked="0"/>
    </xf>
    <xf numFmtId="182" fontId="4" fillId="2" borderId="75" xfId="0" applyNumberFormat="1" applyFont="1" applyFill="1" applyBorder="1" applyAlignment="1" applyProtection="1">
      <alignment horizontal="right"/>
      <protection hidden="1" locked="0"/>
    </xf>
    <xf numFmtId="181" fontId="4" fillId="2" borderId="71" xfId="0" applyNumberFormat="1" applyFont="1" applyFill="1" applyBorder="1" applyAlignment="1" applyProtection="1">
      <alignment horizontal="right"/>
      <protection hidden="1" locked="0"/>
    </xf>
    <xf numFmtId="1" fontId="4" fillId="2" borderId="71" xfId="0" applyNumberFormat="1" applyFont="1" applyFill="1" applyBorder="1" applyAlignment="1" applyProtection="1">
      <alignment horizontal="right"/>
      <protection hidden="1" locked="0"/>
    </xf>
    <xf numFmtId="2" fontId="4" fillId="2" borderId="71" xfId="0" applyNumberFormat="1" applyFont="1" applyFill="1" applyBorder="1" applyAlignment="1" applyProtection="1">
      <alignment horizontal="center"/>
      <protection hidden="1" locked="0"/>
    </xf>
    <xf numFmtId="2" fontId="4" fillId="2" borderId="76" xfId="0" applyNumberFormat="1" applyFont="1" applyFill="1" applyBorder="1" applyAlignment="1" applyProtection="1">
      <alignment horizontal="center"/>
      <protection hidden="1" locked="0"/>
    </xf>
    <xf numFmtId="182" fontId="4" fillId="2" borderId="72" xfId="0" applyNumberFormat="1" applyFont="1" applyFill="1" applyBorder="1" applyAlignment="1" applyProtection="1">
      <alignment horizontal="right"/>
      <protection hidden="1" locked="0"/>
    </xf>
    <xf numFmtId="182" fontId="4" fillId="2" borderId="77" xfId="0" applyNumberFormat="1" applyFont="1" applyFill="1" applyBorder="1" applyAlignment="1" applyProtection="1">
      <alignment horizontal="right"/>
      <protection hidden="1" locked="0"/>
    </xf>
    <xf numFmtId="182" fontId="4" fillId="2" borderId="70" xfId="0" applyNumberFormat="1" applyFont="1" applyFill="1" applyBorder="1" applyAlignment="1" applyProtection="1">
      <alignment horizontal="right"/>
      <protection hidden="1" locked="0"/>
    </xf>
    <xf numFmtId="2" fontId="4" fillId="2" borderId="77" xfId="0" applyNumberFormat="1" applyFont="1" applyFill="1" applyBorder="1" applyAlignment="1" applyProtection="1">
      <alignment horizontal="left"/>
      <protection hidden="1" locked="0"/>
    </xf>
    <xf numFmtId="1" fontId="4" fillId="2" borderId="71" xfId="0" applyNumberFormat="1" applyFont="1" applyFill="1" applyBorder="1" applyAlignment="1" applyProtection="1">
      <alignment horizontal="center"/>
      <protection hidden="1" locked="0"/>
    </xf>
    <xf numFmtId="182" fontId="4" fillId="7" borderId="71" xfId="0" applyNumberFormat="1" applyFont="1" applyFill="1" applyBorder="1" applyAlignment="1" applyProtection="1">
      <alignment horizontal="right"/>
      <protection hidden="1"/>
    </xf>
    <xf numFmtId="181" fontId="4" fillId="7" borderId="71" xfId="0" applyNumberFormat="1" applyFont="1" applyFill="1" applyBorder="1" applyAlignment="1" applyProtection="1">
      <alignment horizontal="right"/>
      <protection hidden="1"/>
    </xf>
    <xf numFmtId="2" fontId="4" fillId="7" borderId="71" xfId="0" applyNumberFormat="1" applyFont="1" applyFill="1" applyBorder="1" applyAlignment="1" applyProtection="1">
      <alignment horizontal="center"/>
      <protection hidden="1"/>
    </xf>
    <xf numFmtId="2" fontId="4" fillId="7" borderId="77" xfId="0" applyNumberFormat="1" applyFont="1" applyFill="1" applyBorder="1" applyAlignment="1" applyProtection="1">
      <alignment horizontal="center"/>
      <protection hidden="1"/>
    </xf>
    <xf numFmtId="182" fontId="4" fillId="7" borderId="70" xfId="0" applyNumberFormat="1" applyFont="1" applyFill="1" applyBorder="1" applyAlignment="1" applyProtection="1">
      <alignment horizontal="right"/>
      <protection hidden="1"/>
    </xf>
    <xf numFmtId="49" fontId="4" fillId="2" borderId="78" xfId="0" applyNumberFormat="1" applyFont="1" applyFill="1" applyBorder="1" applyAlignment="1" applyProtection="1">
      <alignment horizontal="center"/>
      <protection locked="0"/>
    </xf>
    <xf numFmtId="2" fontId="4" fillId="2" borderId="79" xfId="0" applyNumberFormat="1" applyFont="1" applyFill="1" applyBorder="1" applyAlignment="1" applyProtection="1">
      <alignment/>
      <protection locked="0"/>
    </xf>
    <xf numFmtId="2" fontId="4" fillId="7" borderId="71" xfId="0" applyNumberFormat="1" applyFont="1" applyFill="1" applyBorder="1" applyAlignment="1" applyProtection="1">
      <alignment horizontal="left"/>
      <protection hidden="1"/>
    </xf>
    <xf numFmtId="2" fontId="4" fillId="7" borderId="71" xfId="0" applyNumberFormat="1" applyFont="1" applyFill="1" applyBorder="1" applyAlignment="1" applyProtection="1">
      <alignment horizontal="right"/>
      <protection hidden="1"/>
    </xf>
    <xf numFmtId="182" fontId="4" fillId="7" borderId="71" xfId="0" applyNumberFormat="1" applyFont="1" applyFill="1" applyBorder="1" applyAlignment="1" applyProtection="1">
      <alignment horizontal="left"/>
      <protection hidden="1"/>
    </xf>
    <xf numFmtId="182" fontId="4" fillId="2" borderId="71" xfId="0" applyNumberFormat="1" applyFont="1" applyFill="1" applyBorder="1" applyAlignment="1" applyProtection="1">
      <alignment horizontal="right"/>
      <protection hidden="1"/>
    </xf>
    <xf numFmtId="182" fontId="4" fillId="7" borderId="72" xfId="0" applyNumberFormat="1" applyFont="1" applyFill="1" applyBorder="1" applyAlignment="1" applyProtection="1">
      <alignment horizontal="right"/>
      <protection hidden="1"/>
    </xf>
    <xf numFmtId="182" fontId="24" fillId="7" borderId="71" xfId="0" applyNumberFormat="1" applyFont="1" applyFill="1" applyBorder="1" applyAlignment="1" applyProtection="1">
      <alignment horizontal="right"/>
      <protection hidden="1"/>
    </xf>
    <xf numFmtId="182" fontId="4" fillId="7" borderId="70" xfId="0" applyNumberFormat="1" applyFont="1" applyFill="1" applyBorder="1" applyAlignment="1" applyProtection="1">
      <alignment horizontal="right"/>
      <protection hidden="1" locked="0"/>
    </xf>
    <xf numFmtId="2" fontId="4" fillId="2" borderId="0" xfId="0" applyNumberFormat="1" applyFont="1" applyFill="1" applyBorder="1" applyAlignment="1" applyProtection="1">
      <alignment vertical="center"/>
      <protection hidden="1" locked="0"/>
    </xf>
    <xf numFmtId="2" fontId="4" fillId="4" borderId="63" xfId="0" applyNumberFormat="1" applyFont="1" applyFill="1" applyBorder="1" applyAlignment="1" applyProtection="1">
      <alignment horizontal="centerContinuous" vertical="center"/>
      <protection/>
    </xf>
    <xf numFmtId="2" fontId="4" fillId="4" borderId="40" xfId="0" applyNumberFormat="1" applyFont="1" applyFill="1" applyBorder="1" applyAlignment="1" applyProtection="1">
      <alignment horizontal="centerContinuous"/>
      <protection/>
    </xf>
    <xf numFmtId="1" fontId="4" fillId="4" borderId="9" xfId="0" applyNumberFormat="1" applyFont="1" applyFill="1" applyBorder="1" applyAlignment="1" applyProtection="1">
      <alignment horizontal="center" vertical="top"/>
      <protection/>
    </xf>
    <xf numFmtId="180" fontId="4" fillId="4" borderId="40" xfId="0" applyFont="1" applyFill="1" applyBorder="1" applyAlignment="1" applyProtection="1">
      <alignment horizontal="center" vertical="center"/>
      <protection/>
    </xf>
    <xf numFmtId="180" fontId="4" fillId="4" borderId="27" xfId="0" applyFont="1" applyFill="1" applyBorder="1" applyAlignment="1" applyProtection="1">
      <alignment horizontal="center" vertical="center"/>
      <protection/>
    </xf>
    <xf numFmtId="180" fontId="4" fillId="4" borderId="8" xfId="0" applyFont="1" applyFill="1" applyBorder="1" applyAlignment="1" applyProtection="1">
      <alignment horizontal="center" vertical="center"/>
      <protection/>
    </xf>
    <xf numFmtId="1" fontId="4" fillId="4" borderId="8" xfId="0" applyNumberFormat="1" applyFont="1" applyFill="1" applyBorder="1" applyAlignment="1" applyProtection="1">
      <alignment horizontal="center" vertical="center"/>
      <protection/>
    </xf>
    <xf numFmtId="180" fontId="4" fillId="4" borderId="64" xfId="0" applyFont="1" applyFill="1" applyBorder="1" applyAlignment="1" applyProtection="1">
      <alignment horizontal="center" vertical="center"/>
      <protection/>
    </xf>
    <xf numFmtId="180" fontId="4" fillId="4" borderId="38" xfId="0" applyFont="1" applyFill="1" applyBorder="1" applyAlignment="1" applyProtection="1">
      <alignment horizontal="center" vertical="center"/>
      <protection/>
    </xf>
    <xf numFmtId="0" fontId="4" fillId="4" borderId="27" xfId="0" applyNumberFormat="1" applyFont="1" applyFill="1" applyBorder="1" applyAlignment="1" applyProtection="1">
      <alignment horizontal="center"/>
      <protection/>
    </xf>
    <xf numFmtId="43" fontId="4" fillId="4" borderId="4" xfId="15" applyFont="1" applyFill="1" applyBorder="1" applyAlignment="1" applyProtection="1">
      <alignment horizontal="center" vertical="center"/>
      <protection/>
    </xf>
    <xf numFmtId="0" fontId="4" fillId="10" borderId="8" xfId="0" applyNumberFormat="1" applyFont="1" applyFill="1" applyBorder="1" applyAlignment="1" applyProtection="1">
      <alignment horizontal="center" vertical="center"/>
      <protection/>
    </xf>
    <xf numFmtId="180" fontId="4" fillId="10" borderId="18" xfId="0" applyFont="1" applyFill="1" applyBorder="1" applyAlignment="1" applyProtection="1">
      <alignment horizontal="center" vertical="center"/>
      <protection/>
    </xf>
    <xf numFmtId="0" fontId="4" fillId="10" borderId="80" xfId="0" applyNumberFormat="1" applyFont="1" applyFill="1" applyBorder="1" applyAlignment="1" applyProtection="1">
      <alignment horizontal="center"/>
      <protection/>
    </xf>
    <xf numFmtId="180" fontId="4" fillId="10" borderId="50" xfId="0" applyFont="1" applyFill="1" applyBorder="1" applyAlignment="1" applyProtection="1">
      <alignment horizontal="left" vertical="center"/>
      <protection/>
    </xf>
    <xf numFmtId="180" fontId="4" fillId="10" borderId="60" xfId="0" applyFont="1" applyFill="1" applyBorder="1" applyAlignment="1" applyProtection="1">
      <alignment vertical="center"/>
      <protection/>
    </xf>
    <xf numFmtId="180" fontId="4" fillId="10" borderId="61" xfId="0" applyFont="1" applyFill="1" applyBorder="1" applyAlignment="1" applyProtection="1">
      <alignment vertical="center"/>
      <protection/>
    </xf>
    <xf numFmtId="2" fontId="4" fillId="10" borderId="0" xfId="0" applyNumberFormat="1" applyFont="1" applyFill="1" applyBorder="1" applyAlignment="1" applyProtection="1">
      <alignment horizontal="center" vertical="center"/>
      <protection/>
    </xf>
    <xf numFmtId="2" fontId="4" fillId="10" borderId="15" xfId="0" applyNumberFormat="1" applyFont="1" applyFill="1" applyBorder="1" applyAlignment="1" applyProtection="1">
      <alignment horizontal="center" vertical="center"/>
      <protection/>
    </xf>
    <xf numFmtId="2" fontId="4" fillId="10" borderId="43" xfId="0" applyNumberFormat="1" applyFont="1" applyFill="1" applyBorder="1" applyAlignment="1" applyProtection="1">
      <alignment horizontal="center" vertical="center"/>
      <protection/>
    </xf>
    <xf numFmtId="2" fontId="4" fillId="10" borderId="12" xfId="0" applyNumberFormat="1" applyFont="1" applyFill="1" applyBorder="1" applyAlignment="1" applyProtection="1">
      <alignment horizontal="center" vertical="center"/>
      <protection/>
    </xf>
    <xf numFmtId="180" fontId="4" fillId="10" borderId="12" xfId="0" applyFont="1" applyFill="1" applyBorder="1" applyAlignment="1" applyProtection="1">
      <alignment/>
      <protection/>
    </xf>
    <xf numFmtId="180" fontId="4" fillId="10" borderId="36" xfId="0" applyFont="1" applyFill="1" applyBorder="1" applyAlignment="1" applyProtection="1">
      <alignment/>
      <protection/>
    </xf>
    <xf numFmtId="180" fontId="4" fillId="2" borderId="0" xfId="0" applyFont="1" applyFill="1" applyBorder="1" applyAlignment="1" applyProtection="1">
      <alignment horizontal="left" vertical="center"/>
      <protection/>
    </xf>
    <xf numFmtId="180" fontId="4" fillId="4" borderId="18" xfId="0" applyFont="1" applyFill="1" applyBorder="1" applyAlignment="1" applyProtection="1">
      <alignment horizontal="center" vertical="center"/>
      <protection/>
    </xf>
    <xf numFmtId="180" fontId="4" fillId="2" borderId="0" xfId="0" applyFont="1" applyFill="1" applyBorder="1" applyAlignment="1" applyProtection="1">
      <alignment horizontal="center" vertical="center"/>
      <protection/>
    </xf>
    <xf numFmtId="180" fontId="4" fillId="2" borderId="0" xfId="0" applyFont="1" applyFill="1" applyBorder="1" applyAlignment="1" applyProtection="1">
      <alignment horizontal="centerContinuous" vertical="center"/>
      <protection/>
    </xf>
    <xf numFmtId="180" fontId="4" fillId="2" borderId="0" xfId="0" applyFont="1" applyFill="1" applyBorder="1" applyAlignment="1" applyProtection="1">
      <alignment vertical="center"/>
      <protection/>
    </xf>
    <xf numFmtId="0" fontId="4" fillId="4" borderId="7" xfId="0" applyNumberFormat="1" applyFont="1" applyFill="1" applyBorder="1" applyAlignment="1" applyProtection="1">
      <alignment horizontal="center" vertical="center"/>
      <protection/>
    </xf>
    <xf numFmtId="180" fontId="4" fillId="4" borderId="7" xfId="0" applyFont="1" applyFill="1" applyBorder="1" applyAlignment="1" applyProtection="1">
      <alignment horizontal="center" vertical="center"/>
      <protection/>
    </xf>
    <xf numFmtId="1" fontId="4" fillId="4" borderId="7" xfId="0" applyNumberFormat="1" applyFont="1" applyFill="1" applyBorder="1" applyAlignment="1" applyProtection="1">
      <alignment horizontal="center" vertical="center"/>
      <protection/>
    </xf>
    <xf numFmtId="180" fontId="4" fillId="4" borderId="15" xfId="0" applyFont="1" applyFill="1" applyBorder="1" applyAlignment="1" applyProtection="1">
      <alignment horizontal="center" vertical="center"/>
      <protection/>
    </xf>
    <xf numFmtId="180" fontId="4" fillId="4" borderId="11" xfId="0" applyFont="1" applyFill="1" applyBorder="1" applyAlignment="1" applyProtection="1">
      <alignment horizontal="center" vertical="center"/>
      <protection/>
    </xf>
    <xf numFmtId="180" fontId="4" fillId="4" borderId="24" xfId="0" applyFont="1" applyFill="1" applyBorder="1" applyAlignment="1" applyProtection="1">
      <alignment horizontal="center" vertical="center"/>
      <protection/>
    </xf>
    <xf numFmtId="180" fontId="4" fillId="4" borderId="14" xfId="0" applyFont="1" applyFill="1" applyBorder="1" applyAlignment="1" applyProtection="1">
      <alignment horizontal="center" vertical="center"/>
      <protection/>
    </xf>
    <xf numFmtId="182" fontId="4" fillId="4" borderId="42" xfId="0" applyNumberFormat="1" applyFont="1" applyFill="1" applyBorder="1" applyAlignment="1" applyProtection="1">
      <alignment horizontal="center" vertical="center"/>
      <protection/>
    </xf>
    <xf numFmtId="0" fontId="4" fillId="4" borderId="7" xfId="0" applyNumberFormat="1" applyFont="1" applyFill="1" applyBorder="1" applyAlignment="1" applyProtection="1">
      <alignment horizontal="center"/>
      <protection/>
    </xf>
    <xf numFmtId="180" fontId="4" fillId="4" borderId="42" xfId="0" applyFont="1" applyFill="1" applyBorder="1" applyAlignment="1" applyProtection="1">
      <alignment horizontal="left" vertical="center"/>
      <protection/>
    </xf>
    <xf numFmtId="181" fontId="4" fillId="4" borderId="11" xfId="0" applyNumberFormat="1" applyFont="1" applyFill="1" applyBorder="1" applyAlignment="1" applyProtection="1">
      <alignment horizontal="center"/>
      <protection/>
    </xf>
    <xf numFmtId="181" fontId="4" fillId="4" borderId="7" xfId="0" applyNumberFormat="1" applyFont="1" applyFill="1" applyBorder="1" applyAlignment="1" applyProtection="1">
      <alignment horizontal="center"/>
      <protection/>
    </xf>
    <xf numFmtId="43" fontId="4" fillId="4" borderId="7" xfId="15" applyNumberFormat="1" applyFont="1" applyFill="1" applyBorder="1" applyAlignment="1" applyProtection="1">
      <alignment horizontal="center" vertical="center"/>
      <protection/>
    </xf>
    <xf numFmtId="0" fontId="4" fillId="4" borderId="36" xfId="0" applyNumberFormat="1" applyFont="1" applyFill="1" applyBorder="1" applyAlignment="1" applyProtection="1">
      <alignment horizontal="center"/>
      <protection/>
    </xf>
    <xf numFmtId="2" fontId="4" fillId="10" borderId="7" xfId="0" applyNumberFormat="1" applyFont="1" applyFill="1" applyBorder="1" applyAlignment="1" applyProtection="1">
      <alignment horizontal="center" vertical="center"/>
      <protection/>
    </xf>
    <xf numFmtId="180" fontId="4" fillId="10" borderId="7" xfId="0" applyFont="1" applyFill="1" applyBorder="1" applyAlignment="1" applyProtection="1">
      <alignment horizontal="center" vertical="center"/>
      <protection/>
    </xf>
    <xf numFmtId="0" fontId="4" fillId="10" borderId="7" xfId="0" applyNumberFormat="1" applyFont="1" applyFill="1" applyBorder="1" applyAlignment="1" applyProtection="1">
      <alignment horizontal="center" vertical="center"/>
      <protection/>
    </xf>
    <xf numFmtId="180" fontId="4" fillId="10" borderId="11" xfId="0" applyFont="1" applyFill="1" applyBorder="1" applyAlignment="1" applyProtection="1">
      <alignment horizontal="center" vertical="center"/>
      <protection/>
    </xf>
    <xf numFmtId="182" fontId="4" fillId="10" borderId="7" xfId="0" applyNumberFormat="1" applyFont="1" applyFill="1" applyBorder="1" applyAlignment="1" applyProtection="1">
      <alignment horizontal="center" vertical="center"/>
      <protection/>
    </xf>
    <xf numFmtId="0" fontId="4" fillId="10" borderId="81" xfId="0" applyNumberFormat="1" applyFont="1" applyFill="1" applyBorder="1" applyAlignment="1" applyProtection="1">
      <alignment horizontal="center"/>
      <protection/>
    </xf>
    <xf numFmtId="0" fontId="4" fillId="10" borderId="15" xfId="0" applyNumberFormat="1" applyFont="1" applyFill="1" applyBorder="1" applyAlignment="1" applyProtection="1">
      <alignment horizontal="center"/>
      <protection/>
    </xf>
    <xf numFmtId="180" fontId="4" fillId="4" borderId="68" xfId="0" applyFont="1" applyFill="1" applyBorder="1" applyAlignment="1" applyProtection="1">
      <alignment horizontal="center" vertical="center"/>
      <protection/>
    </xf>
    <xf numFmtId="182" fontId="4" fillId="4" borderId="8" xfId="0" applyNumberFormat="1" applyFont="1" applyFill="1" applyBorder="1" applyAlignment="1" applyProtection="1">
      <alignment horizontal="center" vertical="center"/>
      <protection/>
    </xf>
    <xf numFmtId="182" fontId="4" fillId="2" borderId="76" xfId="0" applyNumberFormat="1" applyFont="1" applyFill="1" applyBorder="1" applyAlignment="1" applyProtection="1">
      <alignment horizontal="right"/>
      <protection hidden="1" locked="0"/>
    </xf>
    <xf numFmtId="182" fontId="4" fillId="4" borderId="18" xfId="0" applyNumberFormat="1" applyFont="1" applyFill="1" applyBorder="1" applyAlignment="1" applyProtection="1">
      <alignment horizontal="center" vertical="center"/>
      <protection/>
    </xf>
    <xf numFmtId="182" fontId="4" fillId="4" borderId="24" xfId="0" applyNumberFormat="1" applyFont="1" applyFill="1" applyBorder="1" applyAlignment="1" applyProtection="1">
      <alignment horizontal="center" vertical="center"/>
      <protection/>
    </xf>
    <xf numFmtId="0" fontId="4" fillId="4" borderId="43" xfId="0" applyNumberFormat="1" applyFont="1" applyFill="1" applyBorder="1" applyAlignment="1" applyProtection="1">
      <alignment horizontal="center"/>
      <protection/>
    </xf>
    <xf numFmtId="2" fontId="4" fillId="7" borderId="82" xfId="0" applyNumberFormat="1" applyFont="1" applyFill="1" applyBorder="1" applyAlignment="1" applyProtection="1">
      <alignment horizontal="center"/>
      <protection hidden="1"/>
    </xf>
    <xf numFmtId="0" fontId="4" fillId="4" borderId="18" xfId="0" applyNumberFormat="1" applyFont="1" applyFill="1" applyBorder="1" applyAlignment="1" applyProtection="1">
      <alignment horizontal="center" vertical="center"/>
      <protection/>
    </xf>
    <xf numFmtId="0" fontId="4" fillId="4" borderId="38" xfId="0" applyNumberFormat="1" applyFont="1" applyFill="1" applyBorder="1" applyAlignment="1" applyProtection="1">
      <alignment horizontal="center" vertical="center"/>
      <protection/>
    </xf>
    <xf numFmtId="2" fontId="4" fillId="11" borderId="71" xfId="0" applyNumberFormat="1" applyFont="1" applyFill="1" applyBorder="1" applyAlignment="1" applyProtection="1">
      <alignment horizontal="center"/>
      <protection hidden="1"/>
    </xf>
    <xf numFmtId="0" fontId="4" fillId="11" borderId="28" xfId="0" applyNumberFormat="1" applyFont="1" applyFill="1" applyBorder="1" applyAlignment="1" applyProtection="1">
      <alignment horizontal="centerContinuous"/>
      <protection/>
    </xf>
    <xf numFmtId="0" fontId="4" fillId="11" borderId="15" xfId="0" applyNumberFormat="1" applyFont="1" applyFill="1" applyBorder="1" applyAlignment="1" applyProtection="1">
      <alignment horizontal="center"/>
      <protection/>
    </xf>
    <xf numFmtId="2" fontId="4" fillId="7" borderId="83" xfId="0" applyNumberFormat="1" applyFont="1" applyFill="1" applyBorder="1" applyAlignment="1" applyProtection="1">
      <alignment/>
      <protection hidden="1"/>
    </xf>
    <xf numFmtId="182" fontId="4" fillId="4" borderId="9" xfId="0" applyNumberFormat="1" applyFont="1" applyFill="1" applyBorder="1" applyAlignment="1" applyProtection="1">
      <alignment horizontal="center" vertical="center"/>
      <protection/>
    </xf>
    <xf numFmtId="2" fontId="4" fillId="4" borderId="11" xfId="0" applyNumberFormat="1" applyFont="1" applyFill="1" applyBorder="1" applyAlignment="1" applyProtection="1">
      <alignment horizontal="center" vertical="center"/>
      <protection/>
    </xf>
    <xf numFmtId="0" fontId="4" fillId="4" borderId="5" xfId="0" applyNumberFormat="1" applyFont="1" applyFill="1" applyBorder="1" applyAlignment="1" applyProtection="1">
      <alignment vertical="center"/>
      <protection/>
    </xf>
    <xf numFmtId="0" fontId="4" fillId="4" borderId="28" xfId="0" applyNumberFormat="1" applyFont="1" applyFill="1" applyBorder="1" applyAlignment="1" applyProtection="1">
      <alignment horizontal="center" vertical="center"/>
      <protection/>
    </xf>
    <xf numFmtId="180" fontId="4" fillId="4" borderId="28" xfId="0" applyFont="1" applyFill="1" applyBorder="1" applyAlignment="1" applyProtection="1">
      <alignment horizontal="centerContinuous" vertical="center"/>
      <protection/>
    </xf>
    <xf numFmtId="0" fontId="4" fillId="4" borderId="28" xfId="0" applyNumberFormat="1" applyFont="1" applyFill="1" applyBorder="1" applyAlignment="1" applyProtection="1">
      <alignment horizontal="centerContinuous" vertical="center"/>
      <protection/>
    </xf>
    <xf numFmtId="0" fontId="4" fillId="11" borderId="28" xfId="0" applyNumberFormat="1" applyFont="1" applyFill="1" applyBorder="1" applyAlignment="1" applyProtection="1">
      <alignment horizontal="centerContinuous" vertical="center"/>
      <protection/>
    </xf>
    <xf numFmtId="0" fontId="4" fillId="4" borderId="44" xfId="0" applyNumberFormat="1" applyFont="1" applyFill="1" applyBorder="1" applyAlignment="1" applyProtection="1">
      <alignment horizontal="centerContinuous" vertical="center"/>
      <protection/>
    </xf>
    <xf numFmtId="0" fontId="4" fillId="4" borderId="31" xfId="0" applyNumberFormat="1" applyFont="1" applyFill="1" applyBorder="1" applyAlignment="1" applyProtection="1">
      <alignment horizontal="center" vertical="center"/>
      <protection/>
    </xf>
    <xf numFmtId="0" fontId="4" fillId="4" borderId="42" xfId="0" applyNumberFormat="1" applyFont="1" applyFill="1" applyBorder="1" applyAlignment="1" applyProtection="1">
      <alignment horizontal="center" vertical="center"/>
      <protection/>
    </xf>
    <xf numFmtId="181" fontId="4" fillId="4" borderId="27" xfId="0" applyNumberFormat="1" applyFont="1" applyFill="1" applyBorder="1" applyAlignment="1" applyProtection="1">
      <alignment horizontal="center" vertical="center"/>
      <protection/>
    </xf>
    <xf numFmtId="181" fontId="4" fillId="4" borderId="64" xfId="0" applyNumberFormat="1" applyFont="1" applyFill="1" applyBorder="1" applyAlignment="1" applyProtection="1">
      <alignment horizontal="center" vertical="center"/>
      <protection/>
    </xf>
    <xf numFmtId="0" fontId="4" fillId="4" borderId="61" xfId="0" applyNumberFormat="1" applyFont="1" applyFill="1" applyBorder="1" applyAlignment="1" applyProtection="1">
      <alignment horizontal="center" vertical="center"/>
      <protection/>
    </xf>
    <xf numFmtId="181" fontId="4" fillId="4" borderId="9" xfId="0" applyNumberFormat="1" applyFont="1" applyFill="1" applyBorder="1" applyAlignment="1" applyProtection="1">
      <alignment horizontal="center" vertical="center"/>
      <protection/>
    </xf>
    <xf numFmtId="181" fontId="4" fillId="4" borderId="10" xfId="0" applyNumberFormat="1" applyFont="1" applyFill="1" applyBorder="1" applyAlignment="1" applyProtection="1">
      <alignment horizontal="center" vertical="center"/>
      <protection/>
    </xf>
    <xf numFmtId="181" fontId="4" fillId="4" borderId="11" xfId="0" applyNumberFormat="1" applyFont="1" applyFill="1" applyBorder="1" applyAlignment="1" applyProtection="1">
      <alignment horizontal="center" vertical="center"/>
      <protection/>
    </xf>
    <xf numFmtId="181" fontId="4" fillId="4" borderId="15" xfId="0" applyNumberFormat="1" applyFont="1" applyFill="1" applyBorder="1" applyAlignment="1" applyProtection="1">
      <alignment horizontal="center" vertical="center"/>
      <protection/>
    </xf>
    <xf numFmtId="0" fontId="4" fillId="4" borderId="8" xfId="0" applyNumberFormat="1" applyFont="1" applyFill="1" applyBorder="1" applyAlignment="1" applyProtection="1">
      <alignment horizontal="center" vertical="center"/>
      <protection/>
    </xf>
    <xf numFmtId="0" fontId="4" fillId="4" borderId="60" xfId="0" applyNumberFormat="1" applyFont="1" applyFill="1" applyBorder="1" applyAlignment="1" applyProtection="1">
      <alignment horizontal="center" vertical="center"/>
      <protection/>
    </xf>
    <xf numFmtId="0" fontId="4" fillId="4" borderId="30" xfId="0" applyNumberFormat="1" applyFont="1" applyFill="1" applyBorder="1" applyAlignment="1" applyProtection="1">
      <alignment horizontal="center" vertical="center"/>
      <protection/>
    </xf>
    <xf numFmtId="0" fontId="4" fillId="4" borderId="24" xfId="0" applyNumberFormat="1" applyFont="1" applyFill="1" applyBorder="1" applyAlignment="1" applyProtection="1">
      <alignment horizontal="center" vertical="center"/>
      <protection/>
    </xf>
    <xf numFmtId="181" fontId="1" fillId="7" borderId="0" xfId="31" applyNumberFormat="1" applyFont="1" applyFill="1" applyBorder="1" applyAlignment="1">
      <alignment horizontal="centerContinuous"/>
      <protection/>
    </xf>
    <xf numFmtId="0" fontId="5" fillId="0" borderId="84" xfId="31" applyNumberFormat="1" applyFont="1" applyBorder="1" applyAlignment="1">
      <alignment horizontal="center" vertical="center"/>
      <protection/>
    </xf>
    <xf numFmtId="0" fontId="1" fillId="0" borderId="85" xfId="31" applyFont="1" applyBorder="1" applyAlignment="1">
      <alignment horizontal="left" vertical="center"/>
      <protection/>
    </xf>
    <xf numFmtId="0" fontId="5" fillId="0" borderId="60" xfId="31" applyNumberFormat="1" applyFont="1" applyBorder="1" applyAlignment="1">
      <alignment horizontal="center"/>
      <protection/>
    </xf>
    <xf numFmtId="0" fontId="1" fillId="0" borderId="68" xfId="31" applyFont="1" applyBorder="1" applyAlignment="1">
      <alignment horizontal="left"/>
      <protection/>
    </xf>
    <xf numFmtId="182" fontId="4" fillId="2" borderId="72" xfId="0" applyNumberFormat="1" applyFont="1" applyFill="1" applyBorder="1" applyAlignment="1" applyProtection="1">
      <alignment horizontal="center"/>
      <protection hidden="1" locked="0"/>
    </xf>
    <xf numFmtId="182" fontId="4" fillId="2" borderId="78" xfId="0" applyNumberFormat="1" applyFont="1" applyFill="1" applyBorder="1" applyAlignment="1" applyProtection="1">
      <alignment horizontal="center"/>
      <protection hidden="1" locked="0"/>
    </xf>
    <xf numFmtId="0" fontId="4" fillId="2" borderId="71" xfId="0" applyNumberFormat="1" applyFont="1" applyFill="1" applyBorder="1" applyAlignment="1" applyProtection="1">
      <alignment horizontal="right"/>
      <protection hidden="1" locked="0"/>
    </xf>
    <xf numFmtId="0" fontId="4" fillId="4" borderId="38" xfId="0" applyNumberFormat="1" applyFont="1" applyFill="1" applyBorder="1" applyAlignment="1" applyProtection="1">
      <alignment horizontal="center"/>
      <protection/>
    </xf>
    <xf numFmtId="0" fontId="4" fillId="4" borderId="24" xfId="0" applyNumberFormat="1" applyFont="1" applyFill="1" applyBorder="1" applyAlignment="1" applyProtection="1">
      <alignment horizontal="center"/>
      <protection/>
    </xf>
    <xf numFmtId="0" fontId="4" fillId="4" borderId="11" xfId="0" applyNumberFormat="1" applyFont="1" applyFill="1" applyBorder="1" applyAlignment="1" applyProtection="1">
      <alignment horizontal="center" vertical="center"/>
      <protection/>
    </xf>
    <xf numFmtId="180" fontId="4" fillId="4" borderId="44" xfId="0" applyFont="1" applyFill="1" applyBorder="1" applyAlignment="1" applyProtection="1">
      <alignment vertical="center"/>
      <protection/>
    </xf>
    <xf numFmtId="180" fontId="1" fillId="2" borderId="61" xfId="0" applyFont="1" applyFill="1" applyBorder="1" applyAlignment="1" applyProtection="1">
      <alignment vertical="center"/>
      <protection/>
    </xf>
    <xf numFmtId="181" fontId="4" fillId="7" borderId="71" xfId="0" applyNumberFormat="1" applyFont="1" applyFill="1" applyBorder="1" applyAlignment="1" applyProtection="1">
      <alignment horizontal="center"/>
      <protection hidden="1"/>
    </xf>
    <xf numFmtId="182" fontId="4" fillId="7" borderId="71" xfId="0" applyNumberFormat="1" applyFont="1" applyFill="1" applyBorder="1" applyAlignment="1" applyProtection="1">
      <alignment horizontal="center"/>
      <protection hidden="1"/>
    </xf>
    <xf numFmtId="182" fontId="4" fillId="2" borderId="75" xfId="0" applyNumberFormat="1" applyFont="1" applyFill="1" applyBorder="1" applyAlignment="1" applyProtection="1">
      <alignment horizontal="center"/>
      <protection hidden="1" locked="0"/>
    </xf>
    <xf numFmtId="183" fontId="4" fillId="2" borderId="0" xfId="0" applyNumberFormat="1" applyFont="1" applyFill="1" applyBorder="1" applyAlignment="1" applyProtection="1">
      <alignment horizontal="center"/>
      <protection locked="0"/>
    </xf>
    <xf numFmtId="183" fontId="23" fillId="2" borderId="0" xfId="0" applyNumberFormat="1" applyFont="1" applyFill="1" applyBorder="1" applyAlignment="1" applyProtection="1">
      <alignment horizontal="left" vertical="top" wrapText="1"/>
      <protection locked="0"/>
    </xf>
    <xf numFmtId="183" fontId="4" fillId="7" borderId="72" xfId="0" applyNumberFormat="1" applyFont="1" applyFill="1" applyBorder="1" applyAlignment="1" applyProtection="1">
      <alignment horizontal="right"/>
      <protection hidden="1"/>
    </xf>
    <xf numFmtId="183" fontId="4" fillId="10" borderId="61" xfId="0" applyNumberFormat="1" applyFont="1" applyFill="1" applyBorder="1" applyAlignment="1" applyProtection="1">
      <alignment horizontal="center" vertical="center"/>
      <protection/>
    </xf>
    <xf numFmtId="183" fontId="4" fillId="10" borderId="0" xfId="0" applyNumberFormat="1" applyFont="1" applyFill="1" applyBorder="1" applyAlignment="1" applyProtection="1">
      <alignment horizontal="center" vertical="center"/>
      <protection/>
    </xf>
    <xf numFmtId="183" fontId="4" fillId="10" borderId="10" xfId="0" applyNumberFormat="1" applyFont="1" applyFill="1" applyBorder="1" applyAlignment="1" applyProtection="1">
      <alignment horizontal="center" vertical="center"/>
      <protection/>
    </xf>
    <xf numFmtId="183" fontId="4" fillId="10" borderId="15" xfId="0" applyNumberFormat="1" applyFont="1" applyFill="1" applyBorder="1" applyAlignment="1" applyProtection="1">
      <alignment horizontal="center" vertical="center"/>
      <protection/>
    </xf>
    <xf numFmtId="182" fontId="4" fillId="2" borderId="71" xfId="0" applyNumberFormat="1" applyFont="1" applyFill="1" applyBorder="1" applyAlignment="1" applyProtection="1">
      <alignment horizontal="center"/>
      <protection hidden="1" locked="0"/>
    </xf>
    <xf numFmtId="181" fontId="4" fillId="7" borderId="75" xfId="0" applyNumberFormat="1" applyFont="1" applyFill="1" applyBorder="1" applyAlignment="1" applyProtection="1">
      <alignment horizontal="right"/>
      <protection hidden="1"/>
    </xf>
    <xf numFmtId="2" fontId="23" fillId="2" borderId="0" xfId="0" applyNumberFormat="1" applyFont="1" applyFill="1" applyBorder="1" applyAlignment="1" applyProtection="1">
      <alignment horizontal="left" vertical="top" wrapText="1"/>
      <protection locked="0"/>
    </xf>
    <xf numFmtId="2" fontId="4" fillId="4" borderId="28" xfId="0" applyNumberFormat="1" applyFont="1" applyFill="1" applyBorder="1" applyAlignment="1" applyProtection="1">
      <alignment vertical="center"/>
      <protection/>
    </xf>
    <xf numFmtId="2" fontId="4" fillId="4" borderId="28" xfId="0" applyNumberFormat="1" applyFont="1" applyFill="1" applyBorder="1" applyAlignment="1" applyProtection="1">
      <alignment horizontal="left"/>
      <protection/>
    </xf>
    <xf numFmtId="2" fontId="4" fillId="4" borderId="6" xfId="0" applyNumberFormat="1" applyFont="1" applyFill="1" applyBorder="1" applyAlignment="1" applyProtection="1">
      <alignment horizontal="center"/>
      <protection/>
    </xf>
    <xf numFmtId="2" fontId="4" fillId="4" borderId="86" xfId="0" applyNumberFormat="1" applyFont="1" applyFill="1" applyBorder="1" applyAlignment="1" applyProtection="1">
      <alignment horizontal="center"/>
      <protection/>
    </xf>
    <xf numFmtId="182" fontId="4" fillId="4" borderId="10" xfId="0" applyNumberFormat="1" applyFont="1" applyFill="1" applyBorder="1" applyAlignment="1" applyProtection="1">
      <alignment horizontal="center" vertical="center"/>
      <protection/>
    </xf>
    <xf numFmtId="182" fontId="4" fillId="2" borderId="0" xfId="0" applyNumberFormat="1" applyFont="1" applyFill="1" applyBorder="1" applyAlignment="1" applyProtection="1">
      <alignment horizontal="right"/>
      <protection locked="0"/>
    </xf>
    <xf numFmtId="182" fontId="23" fillId="2" borderId="0" xfId="0" applyNumberFormat="1" applyFont="1" applyFill="1" applyBorder="1" applyAlignment="1" applyProtection="1">
      <alignment horizontal="right" vertical="top" wrapText="1"/>
      <protection locked="0"/>
    </xf>
    <xf numFmtId="180" fontId="4" fillId="0" borderId="0" xfId="0" applyFont="1" applyAlignment="1">
      <alignment/>
    </xf>
    <xf numFmtId="180" fontId="25" fillId="0" borderId="0" xfId="0" applyFont="1" applyAlignment="1">
      <alignment horizontal="left" wrapText="1" indent="2"/>
    </xf>
    <xf numFmtId="180" fontId="25" fillId="0" borderId="0" xfId="0" applyFont="1" applyAlignment="1">
      <alignment horizontal="left" wrapText="1" indent="5"/>
    </xf>
    <xf numFmtId="0" fontId="4" fillId="0" borderId="0" xfId="31" applyNumberFormat="1" applyFont="1">
      <alignment/>
      <protection/>
    </xf>
    <xf numFmtId="0" fontId="4" fillId="2" borderId="76" xfId="0" applyNumberFormat="1" applyFont="1" applyFill="1" applyBorder="1" applyAlignment="1" applyProtection="1">
      <alignment horizontal="left"/>
      <protection hidden="1" locked="0"/>
    </xf>
    <xf numFmtId="2" fontId="0" fillId="7" borderId="87" xfId="0" applyNumberFormat="1" applyFill="1" applyBorder="1" applyAlignment="1" applyProtection="1">
      <alignment horizontal="left"/>
      <protection locked="0"/>
    </xf>
    <xf numFmtId="0" fontId="4" fillId="2" borderId="0" xfId="0" applyNumberFormat="1" applyFont="1" applyFill="1" applyBorder="1" applyAlignment="1" applyProtection="1">
      <alignment horizontal="center"/>
      <protection locked="0"/>
    </xf>
    <xf numFmtId="0" fontId="4" fillId="2" borderId="71" xfId="0" applyNumberFormat="1" applyFont="1" applyFill="1" applyBorder="1" applyAlignment="1" applyProtection="1">
      <alignment horizontal="center"/>
      <protection hidden="1" locked="0"/>
    </xf>
    <xf numFmtId="0" fontId="4" fillId="3" borderId="12" xfId="0" applyNumberFormat="1" applyFont="1" applyFill="1" applyBorder="1" applyAlignment="1" applyProtection="1">
      <alignment horizontal="left" vertical="center"/>
      <protection/>
    </xf>
    <xf numFmtId="180" fontId="4" fillId="0" borderId="0" xfId="0" applyFont="1" applyFill="1" applyBorder="1" applyAlignment="1" applyProtection="1">
      <alignment horizontal="left"/>
      <protection locked="0"/>
    </xf>
    <xf numFmtId="180" fontId="4" fillId="3" borderId="2" xfId="0" applyFont="1" applyFill="1" applyBorder="1" applyAlignment="1" applyProtection="1">
      <alignment horizontal="left" vertical="center"/>
      <protection/>
    </xf>
    <xf numFmtId="180" fontId="4" fillId="4" borderId="4" xfId="0" applyFont="1" applyFill="1" applyBorder="1" applyAlignment="1" applyProtection="1">
      <alignment horizontal="left" vertical="center"/>
      <protection/>
    </xf>
    <xf numFmtId="180" fontId="4" fillId="4" borderId="7" xfId="0" applyFont="1" applyFill="1" applyBorder="1" applyAlignment="1" applyProtection="1">
      <alignment horizontal="left" vertical="center"/>
      <protection/>
    </xf>
    <xf numFmtId="1" fontId="4" fillId="2" borderId="70" xfId="0" applyNumberFormat="1" applyFont="1" applyFill="1" applyBorder="1" applyAlignment="1" applyProtection="1">
      <alignment horizontal="right"/>
      <protection hidden="1" locked="0"/>
    </xf>
    <xf numFmtId="182" fontId="4" fillId="2" borderId="0" xfId="15" applyNumberFormat="1" applyFont="1" applyFill="1" applyBorder="1" applyAlignment="1" applyProtection="1">
      <alignment horizontal="right"/>
      <protection locked="0"/>
    </xf>
    <xf numFmtId="182" fontId="4" fillId="4" borderId="8" xfId="15" applyNumberFormat="1" applyFont="1" applyFill="1" applyBorder="1" applyAlignment="1" applyProtection="1">
      <alignment horizontal="center" vertical="center"/>
      <protection/>
    </xf>
    <xf numFmtId="182" fontId="4" fillId="4" borderId="4" xfId="15" applyNumberFormat="1" applyFont="1" applyFill="1" applyBorder="1" applyAlignment="1" applyProtection="1">
      <alignment horizontal="center" vertical="center"/>
      <protection/>
    </xf>
    <xf numFmtId="182" fontId="4" fillId="4" borderId="7" xfId="15" applyNumberFormat="1" applyFont="1" applyFill="1" applyBorder="1" applyAlignment="1" applyProtection="1">
      <alignment horizontal="right" vertical="center"/>
      <protection/>
    </xf>
    <xf numFmtId="2" fontId="4" fillId="4" borderId="37" xfId="0" applyNumberFormat="1" applyFont="1" applyFill="1" applyBorder="1" applyAlignment="1" applyProtection="1">
      <alignment horizontal="center" vertical="center"/>
      <protection/>
    </xf>
    <xf numFmtId="2" fontId="4" fillId="4" borderId="4" xfId="0" applyNumberFormat="1" applyFont="1" applyFill="1" applyBorder="1" applyAlignment="1" applyProtection="1">
      <alignment horizontal="center" vertical="center"/>
      <protection/>
    </xf>
    <xf numFmtId="2" fontId="23" fillId="2" borderId="0" xfId="0" applyNumberFormat="1" applyFont="1" applyFill="1" applyBorder="1" applyAlignment="1" applyProtection="1">
      <alignment horizontal="right" vertical="top" wrapText="1"/>
      <protection locked="0"/>
    </xf>
    <xf numFmtId="2" fontId="4" fillId="4" borderId="4" xfId="0" applyNumberFormat="1" applyFont="1" applyFill="1" applyBorder="1" applyAlignment="1" applyProtection="1">
      <alignment horizontal="right" vertical="center"/>
      <protection/>
    </xf>
    <xf numFmtId="2" fontId="4" fillId="4" borderId="7" xfId="0" applyNumberFormat="1" applyFont="1" applyFill="1" applyBorder="1" applyAlignment="1" applyProtection="1">
      <alignment horizontal="right" vertical="center"/>
      <protection/>
    </xf>
    <xf numFmtId="180" fontId="23" fillId="2" borderId="0" xfId="0" applyFont="1" applyFill="1" applyBorder="1" applyAlignment="1" applyProtection="1">
      <alignment horizontal="right" vertical="top" wrapText="1"/>
      <protection locked="0"/>
    </xf>
    <xf numFmtId="182" fontId="4" fillId="4" borderId="27" xfId="0" applyNumberFormat="1" applyFont="1" applyFill="1" applyBorder="1" applyAlignment="1" applyProtection="1">
      <alignment horizontal="center" vertical="center"/>
      <protection/>
    </xf>
    <xf numFmtId="182" fontId="4" fillId="4" borderId="11" xfId="0" applyNumberFormat="1" applyFont="1" applyFill="1" applyBorder="1" applyAlignment="1" applyProtection="1">
      <alignment horizontal="center" vertical="center"/>
      <protection/>
    </xf>
    <xf numFmtId="181" fontId="23" fillId="2" borderId="0" xfId="0" applyNumberFormat="1" applyFont="1" applyFill="1" applyBorder="1" applyAlignment="1" applyProtection="1">
      <alignment horizontal="right" vertical="top" wrapText="1"/>
      <protection locked="0"/>
    </xf>
    <xf numFmtId="0" fontId="23" fillId="2" borderId="0" xfId="0" applyNumberFormat="1" applyFont="1" applyFill="1" applyBorder="1" applyAlignment="1" applyProtection="1">
      <alignment horizontal="right" vertical="top" wrapText="1"/>
      <protection locked="0"/>
    </xf>
    <xf numFmtId="182" fontId="4" fillId="2" borderId="71" xfId="0" applyNumberFormat="1" applyFont="1" applyFill="1" applyBorder="1" applyAlignment="1" applyProtection="1">
      <alignment horizontal="center"/>
      <protection locked="0"/>
    </xf>
    <xf numFmtId="182" fontId="4" fillId="4" borderId="15" xfId="0" applyNumberFormat="1" applyFont="1" applyFill="1" applyBorder="1" applyAlignment="1" applyProtection="1">
      <alignment horizontal="center" vertical="center"/>
      <protection/>
    </xf>
    <xf numFmtId="182" fontId="4" fillId="4" borderId="43" xfId="0" applyNumberFormat="1" applyFont="1" applyFill="1" applyBorder="1" applyAlignment="1" applyProtection="1">
      <alignment horizontal="center" vertical="center"/>
      <protection/>
    </xf>
    <xf numFmtId="180" fontId="1" fillId="4" borderId="12" xfId="0" applyFont="1" applyFill="1" applyBorder="1" applyAlignment="1" applyProtection="1">
      <alignment horizontal="right" vertical="center"/>
      <protection/>
    </xf>
    <xf numFmtId="1" fontId="4" fillId="7" borderId="71" xfId="0" applyNumberFormat="1" applyFont="1" applyFill="1" applyBorder="1" applyAlignment="1" applyProtection="1">
      <alignment horizontal="right"/>
      <protection hidden="1"/>
    </xf>
    <xf numFmtId="2" fontId="4" fillId="7" borderId="70" xfId="0" applyNumberFormat="1" applyFont="1" applyFill="1" applyBorder="1" applyAlignment="1" applyProtection="1">
      <alignment horizontal="right"/>
      <protection hidden="1"/>
    </xf>
    <xf numFmtId="2" fontId="4" fillId="4" borderId="62" xfId="0" applyNumberFormat="1" applyFont="1" applyFill="1" applyBorder="1" applyAlignment="1" applyProtection="1">
      <alignment horizontal="centerContinuous" vertical="center"/>
      <protection/>
    </xf>
    <xf numFmtId="2" fontId="4" fillId="4" borderId="10" xfId="0" applyNumberFormat="1" applyFont="1" applyFill="1" applyBorder="1" applyAlignment="1" applyProtection="1">
      <alignment horizontal="center"/>
      <protection/>
    </xf>
    <xf numFmtId="2" fontId="4" fillId="4" borderId="15" xfId="0" applyNumberFormat="1" applyFont="1" applyFill="1" applyBorder="1" applyAlignment="1" applyProtection="1">
      <alignment horizontal="center"/>
      <protection/>
    </xf>
    <xf numFmtId="2" fontId="25" fillId="4" borderId="10" xfId="0" applyNumberFormat="1" applyFont="1" applyFill="1" applyBorder="1" applyAlignment="1" applyProtection="1">
      <alignment horizontal="center" vertical="center"/>
      <protection/>
    </xf>
    <xf numFmtId="181" fontId="4" fillId="7" borderId="77" xfId="0" applyNumberFormat="1" applyFont="1" applyFill="1" applyBorder="1" applyAlignment="1" applyProtection="1">
      <alignment horizontal="center"/>
      <protection hidden="1"/>
    </xf>
    <xf numFmtId="181" fontId="4" fillId="4" borderId="68" xfId="0" applyNumberFormat="1" applyFont="1" applyFill="1" applyBorder="1" applyAlignment="1" applyProtection="1">
      <alignment horizontal="center" vertical="center"/>
      <protection/>
    </xf>
    <xf numFmtId="181" fontId="4" fillId="4" borderId="13" xfId="0" applyNumberFormat="1" applyFont="1" applyFill="1" applyBorder="1" applyAlignment="1" applyProtection="1">
      <alignment horizontal="center" vertical="center"/>
      <protection/>
    </xf>
    <xf numFmtId="181" fontId="4" fillId="4" borderId="14" xfId="0" applyNumberFormat="1" applyFont="1" applyFill="1" applyBorder="1" applyAlignment="1" applyProtection="1">
      <alignment horizontal="center" vertical="center"/>
      <protection/>
    </xf>
    <xf numFmtId="180" fontId="15" fillId="0" borderId="0" xfId="0" applyFont="1" applyAlignment="1">
      <alignment/>
    </xf>
    <xf numFmtId="180" fontId="20" fillId="0" borderId="0" xfId="0" applyFont="1" applyAlignment="1">
      <alignment/>
    </xf>
    <xf numFmtId="1" fontId="0" fillId="0" borderId="61" xfId="0" applyNumberFormat="1" applyBorder="1" applyAlignment="1" applyProtection="1">
      <alignment/>
      <protection/>
    </xf>
    <xf numFmtId="49" fontId="0" fillId="0" borderId="60" xfId="0" applyNumberFormat="1" applyBorder="1" applyAlignment="1" applyProtection="1">
      <alignment/>
      <protection/>
    </xf>
    <xf numFmtId="49" fontId="0" fillId="0" borderId="61" xfId="0" applyNumberFormat="1" applyBorder="1" applyAlignment="1" applyProtection="1">
      <alignment/>
      <protection/>
    </xf>
    <xf numFmtId="1" fontId="0" fillId="0" borderId="68" xfId="0" applyNumberFormat="1" applyBorder="1" applyAlignment="1" applyProtection="1">
      <alignment/>
      <protection/>
    </xf>
    <xf numFmtId="49" fontId="0" fillId="0" borderId="0" xfId="0" applyNumberFormat="1" applyAlignment="1" applyProtection="1">
      <alignment/>
      <protection/>
    </xf>
    <xf numFmtId="1" fontId="0" fillId="4" borderId="61" xfId="0" applyNumberFormat="1" applyFill="1" applyBorder="1" applyAlignment="1" applyProtection="1">
      <alignment horizontal="left"/>
      <protection/>
    </xf>
    <xf numFmtId="1" fontId="0" fillId="4" borderId="68" xfId="0" applyNumberFormat="1" applyFill="1" applyBorder="1" applyAlignment="1" applyProtection="1">
      <alignment horizontal="centerContinuous"/>
      <protection/>
    </xf>
    <xf numFmtId="49" fontId="0" fillId="4" borderId="45" xfId="0" applyNumberFormat="1" applyFill="1" applyBorder="1" applyAlignment="1" applyProtection="1">
      <alignment horizontal="left"/>
      <protection/>
    </xf>
    <xf numFmtId="2" fontId="0" fillId="4" borderId="87" xfId="0" applyNumberFormat="1" applyFill="1" applyBorder="1" applyAlignment="1" applyProtection="1">
      <alignment horizontal="left"/>
      <protection/>
    </xf>
    <xf numFmtId="49" fontId="0" fillId="4" borderId="16" xfId="0" applyNumberFormat="1" applyFill="1" applyBorder="1" applyAlignment="1" applyProtection="1">
      <alignment horizontal="left"/>
      <protection/>
    </xf>
    <xf numFmtId="49" fontId="0" fillId="4" borderId="44" xfId="0" applyNumberFormat="1" applyFill="1" applyBorder="1" applyAlignment="1" applyProtection="1">
      <alignment horizontal="center"/>
      <protection/>
    </xf>
    <xf numFmtId="1" fontId="0" fillId="4" borderId="58" xfId="0" applyNumberFormat="1" applyFill="1" applyBorder="1" applyAlignment="1" applyProtection="1">
      <alignment horizontal="center"/>
      <protection/>
    </xf>
    <xf numFmtId="1" fontId="0" fillId="4" borderId="88" xfId="0" applyNumberFormat="1" applyFill="1" applyBorder="1" applyAlignment="1" applyProtection="1">
      <alignment horizontal="center"/>
      <protection/>
    </xf>
    <xf numFmtId="49" fontId="0" fillId="4" borderId="11" xfId="0" applyNumberFormat="1" applyFill="1" applyBorder="1" applyAlignment="1" applyProtection="1">
      <alignment horizontal="center"/>
      <protection/>
    </xf>
    <xf numFmtId="49" fontId="0" fillId="4" borderId="15" xfId="0" applyNumberFormat="1" applyFill="1" applyBorder="1" applyAlignment="1" applyProtection="1">
      <alignment horizontal="center"/>
      <protection/>
    </xf>
    <xf numFmtId="49" fontId="0" fillId="4" borderId="42" xfId="0" applyNumberFormat="1" applyFill="1" applyBorder="1" applyAlignment="1" applyProtection="1">
      <alignment horizontal="center"/>
      <protection/>
    </xf>
    <xf numFmtId="0" fontId="4" fillId="0" borderId="36" xfId="31" applyBorder="1">
      <alignment/>
      <protection/>
    </xf>
    <xf numFmtId="0" fontId="4" fillId="0" borderId="89" xfId="31" applyBorder="1" applyAlignment="1">
      <alignment horizontal="left"/>
      <protection/>
    </xf>
    <xf numFmtId="0" fontId="4" fillId="0" borderId="33" xfId="31" applyBorder="1" applyAlignment="1">
      <alignment horizontal="right"/>
      <protection/>
    </xf>
    <xf numFmtId="0" fontId="4" fillId="0" borderId="90" xfId="31" applyBorder="1" applyAlignment="1">
      <alignment horizontal="right"/>
      <protection/>
    </xf>
    <xf numFmtId="0" fontId="4" fillId="0" borderId="34" xfId="31" applyBorder="1" applyAlignment="1">
      <alignment horizontal="right"/>
      <protection/>
    </xf>
    <xf numFmtId="180" fontId="0" fillId="0" borderId="0" xfId="0" applyAlignment="1">
      <alignment horizontal="center"/>
    </xf>
    <xf numFmtId="180" fontId="4" fillId="10" borderId="2" xfId="0" applyFont="1" applyFill="1" applyBorder="1" applyAlignment="1" applyProtection="1">
      <alignment horizontal="centerContinuous"/>
      <protection/>
    </xf>
    <xf numFmtId="0" fontId="4" fillId="10" borderId="17" xfId="0" applyNumberFormat="1" applyFont="1" applyFill="1" applyBorder="1" applyAlignment="1" applyProtection="1">
      <alignment horizontal="center"/>
      <protection/>
    </xf>
    <xf numFmtId="0" fontId="4" fillId="10" borderId="0" xfId="0" applyNumberFormat="1" applyFont="1" applyFill="1" applyBorder="1" applyAlignment="1" applyProtection="1">
      <alignment horizontal="center"/>
      <protection/>
    </xf>
    <xf numFmtId="0" fontId="4" fillId="10" borderId="36" xfId="0" applyNumberFormat="1" applyFont="1" applyFill="1" applyBorder="1" applyAlignment="1" applyProtection="1">
      <alignment horizontal="center"/>
      <protection/>
    </xf>
    <xf numFmtId="0" fontId="0" fillId="12" borderId="63" xfId="0" applyNumberFormat="1" applyFill="1" applyBorder="1" applyAlignment="1">
      <alignment/>
    </xf>
    <xf numFmtId="180" fontId="0" fillId="12" borderId="91" xfId="0" applyFill="1" applyBorder="1" applyAlignment="1">
      <alignment/>
    </xf>
    <xf numFmtId="0" fontId="0" fillId="12" borderId="17" xfId="0" applyNumberFormat="1" applyFill="1" applyBorder="1" applyAlignment="1">
      <alignment/>
    </xf>
    <xf numFmtId="180" fontId="0" fillId="12" borderId="0" xfId="0" applyFill="1" applyBorder="1" applyAlignment="1">
      <alignment/>
    </xf>
    <xf numFmtId="0" fontId="0" fillId="12" borderId="5" xfId="0" applyNumberFormat="1" applyFill="1" applyBorder="1" applyAlignment="1">
      <alignment/>
    </xf>
    <xf numFmtId="180" fontId="0" fillId="12" borderId="6" xfId="0" applyFill="1" applyBorder="1" applyAlignment="1">
      <alignment/>
    </xf>
    <xf numFmtId="0" fontId="0" fillId="0" borderId="0" xfId="0" applyNumberFormat="1" applyFill="1" applyBorder="1" applyAlignment="1">
      <alignment/>
    </xf>
    <xf numFmtId="2" fontId="4" fillId="4" borderId="15" xfId="0" applyNumberFormat="1" applyFont="1" applyFill="1" applyBorder="1" applyAlignment="1" applyProtection="1">
      <alignment horizontal="center" vertical="top"/>
      <protection/>
    </xf>
    <xf numFmtId="182" fontId="11" fillId="12" borderId="4" xfId="0" applyNumberFormat="1" applyFont="1" applyFill="1" applyBorder="1" applyAlignment="1" applyProtection="1">
      <alignment horizontal="center" vertical="center"/>
      <protection/>
    </xf>
    <xf numFmtId="1" fontId="11" fillId="12" borderId="92" xfId="0" applyNumberFormat="1" applyFont="1" applyFill="1" applyBorder="1" applyAlignment="1" applyProtection="1">
      <alignment horizontal="center" vertical="center"/>
      <protection/>
    </xf>
    <xf numFmtId="180" fontId="11" fillId="4" borderId="4" xfId="0" applyFont="1" applyFill="1" applyBorder="1" applyAlignment="1" applyProtection="1">
      <alignment horizontal="center" vertical="center"/>
      <protection/>
    </xf>
    <xf numFmtId="2" fontId="23" fillId="2" borderId="0" xfId="0" applyNumberFormat="1" applyFont="1" applyFill="1" applyBorder="1" applyAlignment="1" applyProtection="1">
      <alignment horizontal="center" vertical="top" wrapText="1"/>
      <protection locked="0"/>
    </xf>
    <xf numFmtId="180" fontId="11" fillId="12" borderId="7" xfId="0" applyFont="1" applyFill="1" applyBorder="1" applyAlignment="1" applyProtection="1">
      <alignment horizontal="center"/>
      <protection/>
    </xf>
    <xf numFmtId="0" fontId="11" fillId="12" borderId="36" xfId="0" applyNumberFormat="1" applyFont="1" applyFill="1" applyBorder="1" applyAlignment="1" applyProtection="1">
      <alignment horizontal="center"/>
      <protection/>
    </xf>
    <xf numFmtId="0" fontId="11" fillId="4" borderId="0" xfId="0" applyNumberFormat="1" applyFont="1" applyFill="1" applyBorder="1" applyAlignment="1" applyProtection="1">
      <alignment horizontal="center" vertical="center"/>
      <protection/>
    </xf>
    <xf numFmtId="2" fontId="4" fillId="4" borderId="62" xfId="0" applyNumberFormat="1" applyFont="1" applyFill="1" applyBorder="1" applyAlignment="1" applyProtection="1">
      <alignment horizontal="center" vertical="center"/>
      <protection/>
    </xf>
    <xf numFmtId="2" fontId="4" fillId="4" borderId="47" xfId="0" applyNumberFormat="1" applyFont="1" applyFill="1" applyBorder="1" applyAlignment="1" applyProtection="1">
      <alignment horizontal="center" vertical="center"/>
      <protection/>
    </xf>
    <xf numFmtId="180" fontId="4" fillId="4" borderId="12" xfId="0" applyFont="1" applyFill="1" applyBorder="1" applyAlignment="1" applyProtection="1">
      <alignment horizontal="center" vertical="center"/>
      <protection/>
    </xf>
    <xf numFmtId="180" fontId="4" fillId="4" borderId="2" xfId="0" applyFont="1" applyFill="1" applyBorder="1" applyAlignment="1" applyProtection="1">
      <alignment horizontal="center" vertical="center"/>
      <protection/>
    </xf>
    <xf numFmtId="180" fontId="4" fillId="4" borderId="3" xfId="0" applyFont="1" applyFill="1" applyBorder="1" applyAlignment="1" applyProtection="1">
      <alignment horizontal="center" vertical="center"/>
      <protection/>
    </xf>
    <xf numFmtId="182" fontId="4" fillId="4" borderId="12" xfId="0" applyNumberFormat="1" applyFont="1" applyFill="1" applyBorder="1" applyAlignment="1" applyProtection="1">
      <alignment horizontal="center" vertical="center"/>
      <protection/>
    </xf>
    <xf numFmtId="182" fontId="4" fillId="4" borderId="2" xfId="0" applyNumberFormat="1" applyFont="1" applyFill="1" applyBorder="1" applyAlignment="1" applyProtection="1">
      <alignment horizontal="center" vertical="center"/>
      <protection/>
    </xf>
    <xf numFmtId="182" fontId="4" fillId="4" borderId="3" xfId="0" applyNumberFormat="1" applyFont="1" applyFill="1" applyBorder="1" applyAlignment="1" applyProtection="1">
      <alignment horizontal="center" vertical="center"/>
      <protection/>
    </xf>
    <xf numFmtId="182" fontId="4" fillId="4" borderId="12" xfId="0" applyNumberFormat="1" applyFont="1" applyFill="1" applyBorder="1" applyAlignment="1" applyProtection="1">
      <alignment horizontal="center"/>
      <protection/>
    </xf>
    <xf numFmtId="182" fontId="4" fillId="4" borderId="2" xfId="0" applyNumberFormat="1" applyFont="1" applyFill="1" applyBorder="1" applyAlignment="1" applyProtection="1">
      <alignment horizontal="center"/>
      <protection/>
    </xf>
    <xf numFmtId="182" fontId="4" fillId="4" borderId="3" xfId="0" applyNumberFormat="1" applyFont="1" applyFill="1" applyBorder="1" applyAlignment="1" applyProtection="1">
      <alignment horizontal="center"/>
      <protection/>
    </xf>
    <xf numFmtId="0" fontId="4" fillId="4" borderId="12" xfId="0" applyNumberFormat="1" applyFont="1" applyFill="1" applyBorder="1" applyAlignment="1" applyProtection="1">
      <alignment horizontal="center"/>
      <protection/>
    </xf>
    <xf numFmtId="0" fontId="4" fillId="4" borderId="2" xfId="0" applyNumberFormat="1" applyFont="1" applyFill="1" applyBorder="1" applyAlignment="1" applyProtection="1">
      <alignment horizontal="center"/>
      <protection/>
    </xf>
    <xf numFmtId="181" fontId="4" fillId="4" borderId="62" xfId="0" applyNumberFormat="1" applyFont="1" applyFill="1" applyBorder="1" applyAlignment="1" applyProtection="1">
      <alignment horizontal="center" vertical="center"/>
      <protection/>
    </xf>
    <xf numFmtId="181" fontId="4" fillId="4" borderId="47" xfId="0" applyNumberFormat="1" applyFont="1" applyFill="1" applyBorder="1" applyAlignment="1" applyProtection="1">
      <alignment horizontal="center" vertical="center"/>
      <protection/>
    </xf>
    <xf numFmtId="182" fontId="4" fillId="4" borderId="45" xfId="0" applyNumberFormat="1" applyFont="1" applyFill="1" applyBorder="1" applyAlignment="1" applyProtection="1">
      <alignment horizontal="center" vertical="center"/>
      <protection/>
    </xf>
    <xf numFmtId="182" fontId="4" fillId="4" borderId="47" xfId="0" applyNumberFormat="1" applyFont="1" applyFill="1" applyBorder="1" applyAlignment="1" applyProtection="1">
      <alignment horizontal="center" vertical="center"/>
      <protection/>
    </xf>
    <xf numFmtId="180" fontId="11" fillId="12" borderId="62" xfId="0" applyFont="1" applyFill="1" applyBorder="1" applyAlignment="1" applyProtection="1">
      <alignment horizontal="center" vertical="center"/>
      <protection/>
    </xf>
    <xf numFmtId="180" fontId="11" fillId="12" borderId="47" xfId="0" applyFont="1" applyFill="1" applyBorder="1" applyAlignment="1" applyProtection="1">
      <alignment horizontal="center" vertical="center"/>
      <protection/>
    </xf>
    <xf numFmtId="0" fontId="1" fillId="0" borderId="35" xfId="31" applyFont="1" applyBorder="1" applyAlignment="1">
      <alignment horizontal="center"/>
      <protection/>
    </xf>
    <xf numFmtId="0" fontId="1" fillId="0" borderId="93" xfId="31" applyFont="1" applyBorder="1" applyAlignment="1">
      <alignment horizontal="center"/>
      <protection/>
    </xf>
    <xf numFmtId="0" fontId="1" fillId="0" borderId="25" xfId="31" applyFont="1" applyBorder="1" applyAlignment="1">
      <alignment horizontal="center"/>
      <protection/>
    </xf>
  </cellXfs>
  <cellStyles count="24">
    <cellStyle name="Normal" xfId="0"/>
    <cellStyle name="Comma" xfId="15"/>
    <cellStyle name="Comma [0]" xfId="16"/>
    <cellStyle name="Currency" xfId="17"/>
    <cellStyle name="Currency [0]" xfId="18"/>
    <cellStyle name="Followed Hyperlink" xfId="19"/>
    <cellStyle name="Geen - Style1" xfId="20"/>
    <cellStyle name="Geen - Style2" xfId="21"/>
    <cellStyle name="Geen - Style3" xfId="22"/>
    <cellStyle name="Geen - Style4" xfId="23"/>
    <cellStyle name="Geen - Style5" xfId="24"/>
    <cellStyle name="Geen - Style6" xfId="25"/>
    <cellStyle name="Geen - Style7" xfId="26"/>
    <cellStyle name="Geen - Style8" xfId="27"/>
    <cellStyle name="Hyperlink" xfId="28"/>
    <cellStyle name="Komma [0]_Blad1" xfId="29"/>
    <cellStyle name="Komma_Blad1" xfId="30"/>
    <cellStyle name="Normal_algemeen" xfId="31"/>
    <cellStyle name="Ongedefinieerd" xfId="32"/>
    <cellStyle name="Percent" xfId="33"/>
    <cellStyle name="Standaard_Blad1" xfId="34"/>
    <cellStyle name="Valuta [0]_Blad1" xfId="35"/>
    <cellStyle name="Valuta_Blad1" xfId="36"/>
    <cellStyle name="'WL_tabel"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119</xdr:row>
      <xdr:rowOff>19050</xdr:rowOff>
    </xdr:from>
    <xdr:to>
      <xdr:col>2</xdr:col>
      <xdr:colOff>3895725</xdr:colOff>
      <xdr:row>130</xdr:row>
      <xdr:rowOff>38100</xdr:rowOff>
    </xdr:to>
    <xdr:pic>
      <xdr:nvPicPr>
        <xdr:cNvPr id="1" name="Picture 1"/>
        <xdr:cNvPicPr preferRelativeResize="1">
          <a:picLocks noChangeAspect="1"/>
        </xdr:cNvPicPr>
      </xdr:nvPicPr>
      <xdr:blipFill>
        <a:blip r:embed="rId1"/>
        <a:stretch>
          <a:fillRect/>
        </a:stretch>
      </xdr:blipFill>
      <xdr:spPr>
        <a:xfrm>
          <a:off x="485775" y="25222200"/>
          <a:ext cx="4248150" cy="1838325"/>
        </a:xfrm>
        <a:prstGeom prst="rect">
          <a:avLst/>
        </a:prstGeom>
        <a:noFill/>
        <a:ln w="9525" cmpd="sng">
          <a:noFill/>
        </a:ln>
      </xdr:spPr>
    </xdr:pic>
    <xdr:clientData/>
  </xdr:twoCellAnchor>
  <xdr:twoCellAnchor>
    <xdr:from>
      <xdr:col>1</xdr:col>
      <xdr:colOff>66675</xdr:colOff>
      <xdr:row>132</xdr:row>
      <xdr:rowOff>66675</xdr:rowOff>
    </xdr:from>
    <xdr:to>
      <xdr:col>2</xdr:col>
      <xdr:colOff>3848100</xdr:colOff>
      <xdr:row>140</xdr:row>
      <xdr:rowOff>133350</xdr:rowOff>
    </xdr:to>
    <xdr:pic>
      <xdr:nvPicPr>
        <xdr:cNvPr id="2" name="Picture 2"/>
        <xdr:cNvPicPr preferRelativeResize="1">
          <a:picLocks noChangeAspect="1"/>
        </xdr:cNvPicPr>
      </xdr:nvPicPr>
      <xdr:blipFill>
        <a:blip r:embed="rId2"/>
        <a:stretch>
          <a:fillRect/>
        </a:stretch>
      </xdr:blipFill>
      <xdr:spPr>
        <a:xfrm>
          <a:off x="485775" y="27412950"/>
          <a:ext cx="420052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ransitionEvaluation="1"/>
  <dimension ref="A1:EH12"/>
  <sheetViews>
    <sheetView showGridLines="0" tabSelected="1" showOutlineSymbols="0" workbookViewId="0" topLeftCell="A1">
      <pane ySplit="7" topLeftCell="BM8" activePane="bottomLeft" state="frozen"/>
      <selection pane="topLeft" activeCell="A4" sqref="A4"/>
      <selection pane="bottomLeft" activeCell="A5" sqref="A5"/>
    </sheetView>
  </sheetViews>
  <sheetFormatPr defaultColWidth="9.57421875" defaultRowHeight="12.75" outlineLevelCol="1"/>
  <cols>
    <col min="1" max="1" width="5.7109375" style="502" customWidth="1"/>
    <col min="2" max="2" width="26.421875" style="505" customWidth="1"/>
    <col min="3" max="4" width="8.57421875" style="321" customWidth="1"/>
    <col min="5" max="5" width="6.7109375" style="322" customWidth="1"/>
    <col min="6" max="6" width="7.421875" style="322" customWidth="1"/>
    <col min="7" max="7" width="8.00390625" style="323" customWidth="1"/>
    <col min="8" max="9" width="7.57421875" style="510" customWidth="1"/>
    <col min="10" max="10" width="7.28125" style="321" customWidth="1"/>
    <col min="11" max="11" width="12.00390625" style="324" customWidth="1"/>
    <col min="12" max="12" width="10.28125" style="494" customWidth="1"/>
    <col min="13" max="13" width="8.8515625" style="494" customWidth="1"/>
    <col min="14" max="14" width="10.28125" style="494" customWidth="1"/>
    <col min="15" max="15" width="9.28125" style="494" customWidth="1"/>
    <col min="16" max="16" width="8.140625" style="494" customWidth="1"/>
    <col min="17" max="17" width="7.8515625" style="494" customWidth="1"/>
    <col min="18" max="20" width="6.421875" style="494" customWidth="1"/>
    <col min="21" max="21" width="6.421875" style="338" customWidth="1"/>
    <col min="22" max="22" width="8.7109375" style="338" customWidth="1"/>
    <col min="23" max="23" width="8.7109375" style="320" customWidth="1"/>
    <col min="24" max="24" width="9.140625" style="323" customWidth="1" outlineLevel="1"/>
    <col min="25" max="25" width="7.28125" style="328" customWidth="1" outlineLevel="1"/>
    <col min="26" max="26" width="7.28125" style="338" customWidth="1" outlineLevel="1"/>
    <col min="27" max="27" width="7.28125" style="330" customWidth="1" outlineLevel="1"/>
    <col min="28" max="28" width="8.421875" style="328" customWidth="1" outlineLevel="1"/>
    <col min="29" max="29" width="6.28125" style="328" customWidth="1" outlineLevel="1"/>
    <col min="30" max="30" width="10.00390625" style="494" customWidth="1" outlineLevel="1"/>
    <col min="31" max="32" width="6.00390625" style="338" customWidth="1" outlineLevel="1"/>
    <col min="33" max="33" width="6.00390625" style="321" customWidth="1" outlineLevel="1"/>
    <col min="34" max="34" width="8.00390625" style="328" customWidth="1" outlineLevel="1"/>
    <col min="35" max="35" width="6.00390625" style="494" customWidth="1" outlineLevel="1"/>
    <col min="36" max="37" width="6.00390625" style="338" customWidth="1" outlineLevel="1"/>
    <col min="38" max="38" width="6.00390625" style="321" customWidth="1" outlineLevel="1"/>
    <col min="39" max="39" width="11.8515625" style="494" customWidth="1" outlineLevel="1"/>
    <col min="40" max="40" width="11.00390625" style="325" customWidth="1" outlineLevel="1"/>
    <col min="41" max="41" width="6.00390625" style="494" customWidth="1" outlineLevel="1"/>
    <col min="42" max="42" width="8.421875" style="328" customWidth="1" outlineLevel="1"/>
    <col min="43" max="47" width="6.00390625" style="494" customWidth="1" outlineLevel="1"/>
    <col min="48" max="48" width="12.8515625" style="325" customWidth="1" outlineLevel="1"/>
    <col min="49" max="50" width="16.140625" style="328" customWidth="1"/>
    <col min="51" max="51" width="14.8515625" style="328" customWidth="1"/>
    <col min="52" max="52" width="13.8515625" style="328" customWidth="1"/>
    <col min="53" max="53" width="27.421875" style="324" customWidth="1"/>
    <col min="54" max="54" width="6.28125" style="338" customWidth="1"/>
    <col min="55" max="55" width="8.28125" style="332" customWidth="1"/>
    <col min="56" max="56" width="10.57421875" style="333" customWidth="1"/>
    <col min="57" max="57" width="8.57421875" style="334" customWidth="1"/>
    <col min="58" max="58" width="12.140625" style="334" customWidth="1"/>
    <col min="59" max="60" width="6.8515625" style="328" customWidth="1"/>
    <col min="61" max="61" width="12.421875" style="335" customWidth="1"/>
    <col min="62" max="62" width="13.7109375" style="328" customWidth="1"/>
    <col min="63" max="63" width="11.57421875" style="328" customWidth="1"/>
    <col min="64" max="64" width="13.8515625" style="328" customWidth="1"/>
    <col min="65" max="65" width="10.00390625" style="328" customWidth="1"/>
    <col min="66" max="66" width="15.00390625" style="326" customWidth="1"/>
    <col min="67" max="67" width="7.57421875" style="326" customWidth="1"/>
    <col min="68" max="68" width="4.28125" style="260" customWidth="1"/>
    <col min="69" max="70" width="5.7109375" style="336" customWidth="1"/>
    <col min="71" max="71" width="14.00390625" style="328" customWidth="1"/>
    <col min="72" max="72" width="9.00390625" style="321" customWidth="1"/>
    <col min="73" max="73" width="14.140625" style="330" customWidth="1"/>
    <col min="74" max="74" width="14.7109375" style="326" customWidth="1"/>
    <col min="75" max="75" width="9.7109375" style="337" hidden="1" customWidth="1"/>
    <col min="76" max="76" width="9.421875" style="337" hidden="1" customWidth="1"/>
    <col min="77" max="77" width="14.00390625" style="326" customWidth="1"/>
    <col min="78" max="78" width="11.7109375" style="326" customWidth="1"/>
    <col min="79" max="79" width="5.7109375" style="338" customWidth="1"/>
    <col min="80" max="80" width="5.7109375" style="327" customWidth="1"/>
    <col min="81" max="81" width="12.57421875" style="260" customWidth="1"/>
    <col min="82" max="82" width="18.57421875" style="328" customWidth="1"/>
    <col min="83" max="83" width="12.7109375" style="332" customWidth="1"/>
    <col min="84" max="84" width="15.7109375" style="328" customWidth="1"/>
    <col min="85" max="85" width="17.7109375" style="328" customWidth="1"/>
    <col min="86" max="86" width="29.421875" style="328" customWidth="1"/>
    <col min="87" max="87" width="0.2890625" style="328" customWidth="1"/>
    <col min="88" max="88" width="14.7109375" style="328" customWidth="1"/>
    <col min="89" max="89" width="9.7109375" style="326" hidden="1" customWidth="1"/>
    <col min="90" max="90" width="8.28125" style="325" hidden="1" customWidth="1"/>
    <col min="91" max="91" width="8.8515625" style="325" hidden="1" customWidth="1"/>
    <col min="92" max="92" width="8.57421875" style="326" hidden="1" customWidth="1"/>
    <col min="93" max="94" width="11.28125" style="326" hidden="1" customWidth="1"/>
    <col min="95" max="95" width="6.7109375" style="260" hidden="1" customWidth="1"/>
    <col min="96" max="96" width="10.57421875" style="322" hidden="1" customWidth="1"/>
    <col min="97" max="97" width="6.421875" style="260" hidden="1" customWidth="1"/>
    <col min="98" max="98" width="9.00390625" style="260" hidden="1" customWidth="1" outlineLevel="1"/>
    <col min="99" max="99" width="10.421875" style="260" hidden="1" customWidth="1" outlineLevel="1"/>
    <col min="100" max="100" width="9.00390625" style="260" hidden="1" customWidth="1" outlineLevel="1"/>
    <col min="101" max="101" width="9.8515625" style="260" hidden="1" customWidth="1" outlineLevel="1"/>
    <col min="102" max="103" width="9.7109375" style="260" hidden="1" customWidth="1" outlineLevel="1"/>
    <col min="104" max="104" width="8.421875" style="260" hidden="1" customWidth="1" outlineLevel="1"/>
    <col min="105" max="105" width="8.28125" style="260" hidden="1" customWidth="1" outlineLevel="1"/>
    <col min="106" max="106" width="9.28125" style="260" hidden="1" customWidth="1" outlineLevel="1"/>
    <col min="107" max="107" width="6.00390625" style="329" hidden="1" customWidth="1" outlineLevel="1"/>
    <col min="108" max="108" width="8.7109375" style="260" hidden="1" customWidth="1" outlineLevel="1"/>
    <col min="109" max="109" width="7.7109375" style="260" hidden="1" customWidth="1" outlineLevel="1"/>
    <col min="110" max="110" width="7.28125" style="260" hidden="1" customWidth="1" outlineLevel="1"/>
    <col min="111" max="112" width="6.00390625" style="329" hidden="1" customWidth="1" outlineLevel="1"/>
    <col min="113" max="113" width="12.00390625" style="260" hidden="1" customWidth="1" outlineLevel="1"/>
    <col min="114" max="114" width="9.28125" style="339" hidden="1" customWidth="1" outlineLevel="1"/>
    <col min="115" max="115" width="8.57421875" style="260" hidden="1" customWidth="1"/>
    <col min="116" max="116" width="12.57421875" style="329" hidden="1" customWidth="1" outlineLevel="1"/>
    <col min="117" max="117" width="12.421875" style="260" hidden="1" customWidth="1" outlineLevel="1"/>
    <col min="118" max="119" width="11.7109375" style="260" hidden="1" customWidth="1" outlineLevel="1"/>
    <col min="120" max="121" width="9.7109375" style="326" hidden="1" customWidth="1"/>
    <col min="122" max="122" width="9.7109375" style="479" hidden="1" customWidth="1"/>
    <col min="123" max="126" width="17.7109375" style="326" hidden="1" customWidth="1"/>
    <col min="127" max="127" width="12.00390625" style="326" hidden="1" customWidth="1"/>
    <col min="128" max="129" width="9.7109375" style="326" hidden="1" customWidth="1"/>
    <col min="130" max="130" width="13.28125" style="326" hidden="1" customWidth="1"/>
    <col min="131" max="131" width="9.7109375" style="326" hidden="1" customWidth="1"/>
    <col min="132" max="132" width="13.421875" style="326" hidden="1" customWidth="1"/>
    <col min="133" max="133" width="10.7109375" style="336" hidden="1" customWidth="1"/>
    <col min="134" max="137" width="10.57421875" style="336" hidden="1" customWidth="1"/>
    <col min="138" max="16384" width="9.57421875" style="260" customWidth="1"/>
  </cols>
  <sheetData>
    <row r="1" spans="2:111" ht="14.25" customHeight="1" hidden="1">
      <c r="B1" s="505" t="s">
        <v>0</v>
      </c>
      <c r="C1" s="321" t="s">
        <v>2</v>
      </c>
      <c r="AZ1" s="331"/>
      <c r="DG1" s="329" t="s">
        <v>1</v>
      </c>
    </row>
    <row r="2" spans="1:137" s="340" customFormat="1" ht="93.75" customHeight="1" hidden="1" thickBot="1">
      <c r="A2" s="343" t="str">
        <f>ColumnName(A2,JN($C$1))</f>
        <v>VolgNr</v>
      </c>
      <c r="B2" s="340" t="str">
        <f aca="true" t="shared" si="0" ref="B2:K2">ColumnName(B2,JN($C$1))</f>
        <v>DijkvakNaam</v>
      </c>
      <c r="C2" s="340" t="str">
        <f t="shared" si="0"/>
        <v>SubVakgrenzen_Van</v>
      </c>
      <c r="D2" s="340" t="str">
        <f t="shared" si="0"/>
        <v>SubVakgrenzen_Tot</v>
      </c>
      <c r="E2" s="341" t="str">
        <f>ColumnName(E2,JN($C$1))</f>
        <v>Bekleding_AanlegJaar</v>
      </c>
      <c r="F2" s="341" t="str">
        <f>ColumnName(F2,JN($C$1))</f>
        <v>Bekleding_SchadeInJaar</v>
      </c>
      <c r="G2" s="345" t="str">
        <f t="shared" si="0"/>
        <v>DijkorientatieTovN</v>
      </c>
      <c r="H2" s="342" t="str">
        <f t="shared" si="0"/>
        <v>h_laag</v>
      </c>
      <c r="I2" s="342" t="str">
        <f t="shared" si="0"/>
        <v>h_hoog</v>
      </c>
      <c r="J2" s="516" t="str">
        <f t="shared" si="0"/>
        <v>Bekleding_Type_Toplaag</v>
      </c>
      <c r="K2" s="340" t="str">
        <f t="shared" si="0"/>
        <v>Bekleding_Type_Filters_Invoer</v>
      </c>
      <c r="L2" s="495" t="str">
        <f aca="true" t="shared" si="1" ref="L2:AA2">ColumnName(L2,JN($C$1))</f>
        <v>Bekleding_Hellingtalud_Invoer</v>
      </c>
      <c r="M2" s="495" t="str">
        <f t="shared" si="1"/>
        <v>Bekleding_HellingOnderTalud_Invoer</v>
      </c>
      <c r="N2" s="495" t="str">
        <f>ColumnName(N2,JN($C$1))</f>
        <v>Bekleding_Berm_NiveauVoorrand_invoer</v>
      </c>
      <c r="O2" s="495" t="str">
        <f>ColumnName(O2,JN($C$1))</f>
        <v>Bekleding_Bermbreedte</v>
      </c>
      <c r="P2" s="495" t="s">
        <v>553</v>
      </c>
      <c r="Q2" s="495" t="str">
        <f t="shared" si="1"/>
        <v>Bekleding_HellingBovenTalud_Invoer</v>
      </c>
      <c r="R2" s="495" t="str">
        <f t="shared" si="1"/>
        <v>Bekleding_Toplaag_D</v>
      </c>
      <c r="S2" s="495" t="str">
        <f t="shared" si="1"/>
        <v>Bekleding_Toplaag_B_Invoer</v>
      </c>
      <c r="T2" s="495" t="str">
        <f t="shared" si="1"/>
        <v>Bekleding_Toplaag_L_Invoer</v>
      </c>
      <c r="U2" s="522" t="str">
        <f t="shared" si="1"/>
        <v>Bekleding_Toplaag_Spleet_Invoer</v>
      </c>
      <c r="V2" s="519" t="str">
        <f t="shared" si="1"/>
        <v>Bekleding_Toplaag_OpenOpp_Relatief_Invoer</v>
      </c>
      <c r="W2" s="523" t="str">
        <f t="shared" si="1"/>
        <v>Bekleding_Toplaag_Karakt_Opening</v>
      </c>
      <c r="X2" s="519" t="str">
        <f t="shared" si="1"/>
        <v>Bekleding_Toplaag_SMassa_Invoer</v>
      </c>
      <c r="Y2" s="343" t="str">
        <f>ColumnName(Y2,JN($C$1))</f>
        <v>Bekleding_Toplaag_InwasJN</v>
      </c>
      <c r="Z2" s="522" t="str">
        <f t="shared" si="1"/>
        <v>Bekleding_Toplaag_Inwasmateriaal_D15</v>
      </c>
      <c r="AA2" s="519" t="str">
        <f t="shared" si="1"/>
        <v>Bekleding_Toplaag_Inwasmateriaal_Porositeit</v>
      </c>
      <c r="AB2" s="343" t="str">
        <f>ColumnName(AB2,JN($C$1))</f>
        <v>Bekleding_Toplaag_GoedGeklemdJNO</v>
      </c>
      <c r="AC2" s="340" t="str">
        <f>ColumnName(AC2,JN($C$1))</f>
        <v>Bekleding_Toplaag_SlibJN</v>
      </c>
      <c r="AD2" s="495" t="str">
        <f>ColumnName(AD2,JN($C$1))</f>
        <v>Bekleding_BovensteFilterlaag_b_Invoer</v>
      </c>
      <c r="AE2" s="522" t="str">
        <f aca="true" t="shared" si="2" ref="AE2:AR2">ColumnName(AE2,JN($C$1))</f>
        <v>Bekleding_BovensteFilerlaag_D15</v>
      </c>
      <c r="AF2" s="522" t="str">
        <f t="shared" si="2"/>
        <v>Bekleding_BovensteFilterlaag_D50_Invoer</v>
      </c>
      <c r="AG2" s="516" t="str">
        <f t="shared" si="2"/>
        <v>Bekleding_BovensteFilterlaag_Porositeit_Invoer</v>
      </c>
      <c r="AH2" s="340" t="str">
        <f t="shared" si="2"/>
        <v>Bekleding_BovensteFilterlaag_Slib</v>
      </c>
      <c r="AI2" s="495" t="str">
        <f t="shared" si="2"/>
        <v>Bekleding_TweedeFilterlaag_b_Invoer</v>
      </c>
      <c r="AJ2" s="522" t="str">
        <f t="shared" si="2"/>
        <v>Bekleding_TweedeFilterlaag_D15</v>
      </c>
      <c r="AK2" s="522" t="str">
        <f t="shared" si="2"/>
        <v>Bekleding_TweedeFilterlaag_D50_Invoer</v>
      </c>
      <c r="AL2" s="516" t="str">
        <f t="shared" si="2"/>
        <v>Bekleding_TweedeFilterlaag_Porositeit_Invoer</v>
      </c>
      <c r="AM2" s="495" t="str">
        <f t="shared" si="2"/>
        <v>Bekleding_Geotextiel2_O90_Invoer</v>
      </c>
      <c r="AN2" s="343" t="str">
        <f t="shared" si="2"/>
        <v>Klei_Dijkopbouw</v>
      </c>
      <c r="AO2" s="495" t="str">
        <f t="shared" si="2"/>
        <v>Bekleding_Klei_b</v>
      </c>
      <c r="AP2" s="343" t="str">
        <f t="shared" si="2"/>
        <v>Bekleding_Klei_Kwaliteit</v>
      </c>
      <c r="AQ2" s="495" t="str">
        <f t="shared" si="2"/>
        <v>Bekleding_Klei_D50</v>
      </c>
      <c r="AR2" s="495" t="str">
        <f t="shared" si="2"/>
        <v>Bekleding_Klei_D90</v>
      </c>
      <c r="AS2" s="495" t="str">
        <f aca="true" t="shared" si="3" ref="AS2:CF2">ColumnName(AS2,JN($C$1))</f>
        <v>Bekleding_Ondergrond_D15_Invoer</v>
      </c>
      <c r="AT2" s="495" t="str">
        <f t="shared" si="3"/>
        <v>Bekleding_Ondergrond_D50_Invoer</v>
      </c>
      <c r="AU2" s="495" t="str">
        <f t="shared" si="3"/>
        <v>Bekleding_Ondergrond_D90_Invoer</v>
      </c>
      <c r="AV2" s="343" t="str">
        <f t="shared" si="3"/>
        <v>Bekleding_BovensteOvergangsconstructie</v>
      </c>
      <c r="AW2" s="343" t="str">
        <f>ColumnName(AW2,JN($C$1))</f>
        <v>MatTransp_Ervaring</v>
      </c>
      <c r="AX2" s="343" t="str">
        <f>ColumnName(AX2,JN($C$1))</f>
        <v>MatTransp_UitFilter_Ervaring</v>
      </c>
      <c r="AY2" s="340" t="str">
        <f>ColumnName(AY2,JN($C$1))</f>
        <v>Bekleding_AfstandHouders_Ervaring</v>
      </c>
      <c r="AZ2" s="340" t="str">
        <f>ColumnName(AZ2,JN($C$1))</f>
        <v>Bekleding_RuimteToplaagFilterJNO</v>
      </c>
      <c r="BA2" s="340" t="str">
        <f>ColumnName(BA2,JN($C$1))</f>
        <v>Opmerkingen</v>
      </c>
      <c r="BB2" s="519" t="str">
        <f t="shared" si="3"/>
        <v>Water_Stormduur_Invoer</v>
      </c>
      <c r="BC2" s="340" t="str">
        <f t="shared" si="3"/>
        <v>Water_TabelIndex</v>
      </c>
      <c r="BD2" s="340" t="str">
        <f t="shared" si="3"/>
        <v>Water_GHW</v>
      </c>
      <c r="BE2" s="340" t="str">
        <f t="shared" si="3"/>
        <v>Water_Toetspeil2000</v>
      </c>
      <c r="BF2" s="340" t="str">
        <f t="shared" si="3"/>
        <v>Water_MaatgevendeWaterstand</v>
      </c>
      <c r="BG2" s="340" t="str">
        <f t="shared" si="3"/>
        <v>Water_Hs</v>
      </c>
      <c r="BH2" s="340" t="str">
        <f t="shared" si="3"/>
        <v>Water_Tp</v>
      </c>
      <c r="BI2" s="345" t="str">
        <f t="shared" si="3"/>
        <v>Water_Beta</v>
      </c>
      <c r="BJ2" s="340" t="str">
        <f t="shared" si="3"/>
        <v>Afschuiving_Score</v>
      </c>
      <c r="BK2" s="340" t="str">
        <f t="shared" si="3"/>
        <v>MatTransp_Score</v>
      </c>
      <c r="BL2" s="343" t="str">
        <f t="shared" si="3"/>
        <v>MatTransp_UitFilter_Score</v>
      </c>
      <c r="BM2" s="343"/>
      <c r="BN2" s="577" t="str">
        <f t="shared" si="3"/>
        <v>HsDeltaD_verh</v>
      </c>
      <c r="BO2" s="577" t="str">
        <f>ColumnName(BO2,JN($C$1))</f>
        <v>Water_XsiOp</v>
      </c>
      <c r="BP2" s="340" t="str">
        <f t="shared" si="3"/>
        <v>StabToplaag_ToetsE_type</v>
      </c>
      <c r="BQ2" s="488" t="str">
        <f t="shared" si="3"/>
        <v>StabToplaag_ToetsE_gt_verh</v>
      </c>
      <c r="BR2" s="488" t="str">
        <f t="shared" si="3"/>
        <v>StabToplaag_ToetsE_kwan_to_verh</v>
      </c>
      <c r="BS2" s="340" t="str">
        <f t="shared" si="3"/>
        <v>StabToplaag_ToetsE_score</v>
      </c>
      <c r="BT2" s="488" t="str">
        <f t="shared" si="3"/>
        <v>StabToplaag_ToetG_F</v>
      </c>
      <c r="BV2" s="340" t="str">
        <f t="shared" si="3"/>
        <v>StabToplaag_ToetG_Score</v>
      </c>
      <c r="BW2" s="346" t="str">
        <f t="shared" si="3"/>
        <v>StabToplaag_ToetsG_Klemfactor_GoedTwijfel</v>
      </c>
      <c r="BX2" s="346" t="str">
        <f t="shared" si="3"/>
        <v>StabToplaag_ToetsG_Klemfactor_TwijfelOnvoldoende</v>
      </c>
      <c r="BY2" s="340" t="str">
        <f t="shared" si="3"/>
        <v>StabToplaag_Score</v>
      </c>
      <c r="BZ2" s="340" t="str">
        <f t="shared" si="3"/>
        <v>Bovenste_OvergangsConstructie_Score</v>
      </c>
      <c r="CA2" s="344" t="str">
        <f t="shared" si="3"/>
        <v>Reststerkte_Filterlaag</v>
      </c>
      <c r="CB2" s="344" t="str">
        <f t="shared" si="3"/>
        <v>Reststerkte_Kleilaag</v>
      </c>
      <c r="CC2" s="340" t="str">
        <f t="shared" si="3"/>
        <v>Reststerkte_Score</v>
      </c>
      <c r="CD2" s="340" t="str">
        <f t="shared" si="3"/>
        <v>Eindscore</v>
      </c>
      <c r="CE2" s="344" t="str">
        <f t="shared" si="3"/>
        <v>MaximaalToelaatbareLangsstroming</v>
      </c>
      <c r="CF2" s="340" t="str">
        <f t="shared" si="3"/>
        <v>Beheerdersoordeel</v>
      </c>
      <c r="CK2" s="340" t="str">
        <f aca="true" t="shared" si="4" ref="CK2:EF2">ColumnName(CK2,JN($C$1))</f>
        <v>Bekleding_AlsBermJN</v>
      </c>
      <c r="CL2" s="342" t="str">
        <f>ColumnName(CL2,JN($C$1))</f>
        <v>Bekleding_Berm_OnderTalud</v>
      </c>
      <c r="CM2" s="342" t="str">
        <f>ColumnName(CM2,JN($C$1))</f>
        <v>Bekleding_Berm_NiveauVoorrand</v>
      </c>
      <c r="CN2" s="342" t="str">
        <f>ColumnName(CN2,JN($C$1))</f>
        <v>Bekleding_HellingBovenTalud</v>
      </c>
      <c r="CO2" s="340" t="str">
        <f t="shared" si="4"/>
        <v>?</v>
      </c>
      <c r="CP2" s="340" t="str">
        <f t="shared" si="4"/>
        <v>Bekleding_Type_Filters</v>
      </c>
      <c r="CQ2" s="340" t="str">
        <f t="shared" si="4"/>
        <v>Bekleding_Toplaag_B</v>
      </c>
      <c r="CR2" s="340" t="str">
        <f t="shared" si="4"/>
        <v>Bekleding_Toplaag_L</v>
      </c>
      <c r="CS2" s="340" t="str">
        <f t="shared" si="4"/>
        <v>Bekleding_Toplaag_Spleetbreedte</v>
      </c>
      <c r="CT2" s="340" t="str">
        <f t="shared" si="4"/>
        <v>Bekleding_Toplaag_OpenOpp_Relatief</v>
      </c>
      <c r="CU2" s="340" t="str">
        <f t="shared" si="4"/>
        <v>Bekleding_Toplaag_SMassa</v>
      </c>
      <c r="CV2" s="340" t="str">
        <f t="shared" si="4"/>
        <v>Bekleding_Toplaag_Delta</v>
      </c>
      <c r="CW2" s="340" t="str">
        <f t="shared" si="4"/>
        <v>Bekleding_GeoTextiel1_O90</v>
      </c>
      <c r="CX2" s="340" t="str">
        <f t="shared" si="4"/>
        <v>Bekleding_Toplaag_AsfaltJN</v>
      </c>
      <c r="CY2" s="340" t="str">
        <f t="shared" si="4"/>
        <v>Bekleding_BovensteFilterlaag_b</v>
      </c>
      <c r="CZ2" s="340" t="str">
        <f t="shared" si="4"/>
        <v>Bekleding_BovensteFilterlaag_Porositeit</v>
      </c>
      <c r="DA2" s="340" t="str">
        <f t="shared" si="4"/>
        <v>Bekleding_BovensteFilterlaag_D50</v>
      </c>
      <c r="DB2" s="340" t="str">
        <f>ColumnName(DB2,JN($C$1))</f>
        <v>Bekleding_TweedeFilterlaag_Aanwezig</v>
      </c>
      <c r="DC2" s="340" t="str">
        <f t="shared" si="4"/>
        <v>Bekleding_TweedeFilterlaag_b</v>
      </c>
      <c r="DD2" s="340" t="str">
        <f t="shared" si="4"/>
        <v>Bekleding_TweedeFilterlaag_Porositeit</v>
      </c>
      <c r="DE2" s="340" t="str">
        <f t="shared" si="4"/>
        <v>Bekleding_TweedeFilterlaag_D50</v>
      </c>
      <c r="DF2" s="340" t="str">
        <f>ColumnName(DF2,JN($C$1))</f>
        <v>Bekleding_Ondergrond_D90</v>
      </c>
      <c r="DG2" s="340" t="str">
        <f t="shared" si="4"/>
        <v>Bekleding_Ondergrond_D50</v>
      </c>
      <c r="DH2" s="340" t="str">
        <f>ColumnName(DH2,JN($C$1))</f>
        <v>Bekleding_Ondergrond_D15</v>
      </c>
      <c r="DI2" s="340" t="str">
        <f t="shared" si="4"/>
        <v>Bekleding_Geotextiel2_O90</v>
      </c>
      <c r="DJ2" s="340" t="str">
        <f t="shared" si="4"/>
        <v>Bekleding_Geotextiel2_Aanwezig</v>
      </c>
      <c r="DK2" s="340" t="str">
        <f>ColumnName(DK2,JN($C$1))</f>
        <v>Water_Stormduur</v>
      </c>
      <c r="DL2" s="340" t="str">
        <f>ColumnName(DL2,JN($C$1))</f>
        <v>Bekleding_GeoTextiel1_O90_Invoer</v>
      </c>
      <c r="DM2" s="340" t="str">
        <f t="shared" si="4"/>
        <v>MatTransp_Geotextiel_O90</v>
      </c>
      <c r="DN2" s="340" t="str">
        <f t="shared" si="4"/>
        <v>Mattransp_Filterlaag_D15</v>
      </c>
      <c r="DO2" s="340" t="str">
        <f t="shared" si="4"/>
        <v>MatTransp_Filterlaag_D50</v>
      </c>
      <c r="DP2" s="340" t="str">
        <f t="shared" si="4"/>
        <v>InvloedsfactorBerm</v>
      </c>
      <c r="DQ2" s="340" t="str">
        <f t="shared" si="4"/>
        <v>InvloedsfactorBerm2</v>
      </c>
      <c r="DR2" s="480" t="str">
        <f t="shared" si="4"/>
        <v>FictieveTaludHelling</v>
      </c>
      <c r="DS2" s="340" t="str">
        <f t="shared" si="4"/>
        <v>Bekleding_HellingBerm</v>
      </c>
      <c r="DT2" s="340" t="str">
        <f t="shared" si="4"/>
        <v>Fictieve_Onder_Berm_Boven</v>
      </c>
      <c r="DU2" s="340" t="str">
        <f t="shared" si="4"/>
        <v>RekenDikte</v>
      </c>
      <c r="DV2" s="340" t="str">
        <f t="shared" si="4"/>
        <v>Cw_Onvoldoende</v>
      </c>
      <c r="DW2" s="340" t="str">
        <f t="shared" si="4"/>
        <v>Golfoploop</v>
      </c>
      <c r="DX2" s="340" t="str">
        <f t="shared" si="4"/>
        <v>?</v>
      </c>
      <c r="DY2" s="340" t="str">
        <f t="shared" si="4"/>
        <v>?</v>
      </c>
      <c r="DZ2" s="340" t="str">
        <f t="shared" si="4"/>
        <v>?</v>
      </c>
      <c r="EA2" s="340" t="str">
        <f t="shared" si="4"/>
        <v>Bekleding_Toplaag_Inklemfactor</v>
      </c>
      <c r="EB2" s="340" t="str">
        <f t="shared" si="4"/>
        <v>?</v>
      </c>
      <c r="EC2" s="340" t="str">
        <f t="shared" si="4"/>
        <v>StabToplaag_ToetsG_BelastingEnSterkte_Verh_1</v>
      </c>
      <c r="ED2" s="340" t="str">
        <f t="shared" si="4"/>
        <v>StabToplaag_ToetsG_BelastingEnSterkte_Verh_2</v>
      </c>
      <c r="EE2" s="340" t="str">
        <f t="shared" si="4"/>
        <v>StabToplaag_ToetsG_BelastingEnSterkte_Verh_3</v>
      </c>
      <c r="EF2" s="340" t="str">
        <f t="shared" si="4"/>
        <v>StabToplaag_ToetsG_BelastingEnSterkte_Verh_4</v>
      </c>
      <c r="EG2" s="340" t="str">
        <f>ColumnName(EG2,JN($C$1))</f>
        <v>StabToplaag_ToetsG_factor</v>
      </c>
    </row>
    <row r="3" spans="1:137" s="379" customFormat="1" ht="12.75" customHeight="1" hidden="1" thickBot="1">
      <c r="A3" s="503"/>
      <c r="B3" s="347"/>
      <c r="C3" s="348"/>
      <c r="D3" s="349"/>
      <c r="E3" s="350"/>
      <c r="F3" s="500"/>
      <c r="G3" s="509"/>
      <c r="H3" s="351"/>
      <c r="I3" s="351"/>
      <c r="J3" s="349"/>
      <c r="K3" s="352"/>
      <c r="L3" s="351"/>
      <c r="M3" s="351"/>
      <c r="N3" s="351"/>
      <c r="O3" s="351"/>
      <c r="P3" s="353"/>
      <c r="Q3" s="354"/>
      <c r="R3" s="355"/>
      <c r="S3" s="351"/>
      <c r="T3" s="351"/>
      <c r="U3" s="356"/>
      <c r="V3" s="356"/>
      <c r="W3" s="470"/>
      <c r="X3" s="357"/>
      <c r="Y3" s="524"/>
      <c r="Z3" s="356"/>
      <c r="AA3" s="349"/>
      <c r="AB3" s="358"/>
      <c r="AC3" s="359"/>
      <c r="AD3" s="360"/>
      <c r="AE3" s="356"/>
      <c r="AF3" s="356"/>
      <c r="AG3" s="349"/>
      <c r="AH3" s="358"/>
      <c r="AI3" s="355"/>
      <c r="AJ3" s="356"/>
      <c r="AK3" s="356"/>
      <c r="AL3" s="349"/>
      <c r="AM3" s="361"/>
      <c r="AN3" s="469"/>
      <c r="AO3" s="362"/>
      <c r="AP3" s="468"/>
      <c r="AQ3" s="351"/>
      <c r="AR3" s="351"/>
      <c r="AS3" s="355"/>
      <c r="AT3" s="351"/>
      <c r="AU3" s="431"/>
      <c r="AV3" s="468"/>
      <c r="AW3" s="478"/>
      <c r="AX3" s="486"/>
      <c r="AY3" s="351"/>
      <c r="AZ3" s="351"/>
      <c r="BA3" s="363"/>
      <c r="BB3" s="356"/>
      <c r="BC3" s="364"/>
      <c r="BD3" s="365" t="e">
        <f>Water_GHW_Bepaal(SubVakgrenzen_Van,SubVakgrenzen_Tot,IF(SubVakgrenzen_Van="",-1,0),IF(SubVakgrenzen_Tot="",-1,0))</f>
        <v>#VALUE!</v>
      </c>
      <c r="BE3" s="365">
        <f>Water_Toetspeil2000_Bepaal(SubVakgrenzen_Van,SubVakgrenzen_Tot)</f>
        <v>1.0000000150474662E+30</v>
      </c>
      <c r="BF3" s="365" t="e">
        <f>MaatgevendeWaterStand_Bereken(SubVakgrenzen_Van,SubVakgrenzen_Tot,Water_TabelIndex,Onder_Berm_Boven,Bekleding_Hellingtalud_Invoer,Bekleding_Berm_OnderTalud,Bekleding_HellingBovenTalud,Bekleding_Berm_NiveauVoorrand,h_laag,h_hoog,Water_Toetspeil2000,Bekleding_Bermbreedte,Bekleding_Toplaag_D)</f>
        <v>#VALUE!</v>
      </c>
      <c r="BG3" s="365" t="e">
        <f>Water_Hs_Bereken(SubVakgrenzen_Van,SubVakgrenzen_Tot,Water_TabelIndex,Water_MaatgevendeWaterstand,Water_Beta)</f>
        <v>#VALUE!</v>
      </c>
      <c r="BH3" s="365" t="e">
        <f>Water_Tp_Bereken(SubVakgrenzen_Van,SubVakgrenzen_Tot,Water_TabelIndex,Water_MaatgevendeWaterstand,Water_Beta)</f>
        <v>#VALUE!</v>
      </c>
      <c r="BI3" s="528">
        <f>IF(isLeeg(DijkorientatieTovN),0,Water_Beta_Bereken(SubVakgrenzen_Van,SubVakgrenzen_Tot,Water_TabelIndex,DijkorientatieTovN))</f>
        <v>0</v>
      </c>
      <c r="BJ3" s="435" t="e">
        <f>Afschuiving_Score_Bepaal(Bekleding_Toplaag_Delta,Bekleding_Toplaag_D,Bekleding_BovensteFilterlaag_b,Bekleding_Ondergrond_D15,Bekleding_TweedeFilterlaag_b,Bekleding_Klei_b,Bekleding_Hellingtalud_Invoer,Water_Hs,Water_Tp,h_laag,Water_Toetspeil2000,Onder_Berm_Boven,Klei_Dijkopbouw)</f>
        <v>#VALUE!</v>
      </c>
      <c r="BK3" s="435" t="e">
        <f>MatTransp_Score_Bepaal(MatTransp_Ervaring,MatTransp_Geotextiel_O90/1000,Bekleding_Type_Filters,MatTransp_Filterlaag_D50/1000,Mattransp_Filterlaag_D15/1000,Bekleding_Klei_D50/1000,Bekleding_Klei_D90/1000,Bekleding_Ondergrond_D15/1000,Bekleding_Ondergrond_D50/1000,Bekleding_Ondergrond_D90/1000,h_laag,Water_Toetspeil2000,Water_Hs,StabToplaag_ToetsE_type,Bekleding_Klei_Kwaliteit)</f>
        <v>#VALUE!</v>
      </c>
      <c r="BL3" s="476" t="e">
        <f>MatTransp_UitFilter_Score_Bepaal(Bekleding_Type_Toplaag,Bekleding_Toplaag_Spleetbreedte,h_laag,Water_MaatgevendeWaterstand,MatTransp_UitFilter_Ervaring,Bekleding_BovensteFilterlaag_D50,Water_Hs,Bekleding_Toplaag_OpenOpp_Relatief_Invoer,Bekleding_Toplaag_B_Invoer,Bekleding_Toplaag_L_Invoer,Bekleding_Toplaag_D,Bekleding_Type_Filters,Bekleding_Toplaag_Karakt_Opening)</f>
        <v>#VALUE!</v>
      </c>
      <c r="BM3" s="435" t="e">
        <f>InvloedsfactorBerm2</f>
        <v>#VALUE!</v>
      </c>
      <c r="BN3" s="367" t="e">
        <f>StabToplaag_ToetsE_HSDD_verh_Bepaal(InvloedsfactorBerm2,Water_Hs,Bekleding_Toplaag_Delta,RekenDikte)</f>
        <v>#VALUE!</v>
      </c>
      <c r="BO3" s="367" t="e">
        <f>Water_XsiOp_Bereken(FictieveTaludHelling,Water_Hs,Water_Tp)</f>
        <v>#VALUE!</v>
      </c>
      <c r="BP3" s="369" t="e">
        <f>StabToplaag_ToetsE_Type_Bepaal(Bekleding_Type_Toplaag,Bekleding_Type_Filters,RekenDikte,Bekleding_Toplaag_OpenOpp_Relatief/100,Bekleding_BovensteFilterlaag_D15/1000,Bekleding_BovensteFilterlaag_b,JN(Bekleding_Toplaag_InwasJN),JN(Bekleding_Toplaag_AsfaltJN),JN(Bekleding_Toplaag_SlibJN),JNO(Bekleding_BovensteFilterlaag_SlibJNO),Water_Stormduur,isLeeg(Bekleding_Type_Toplaag),isLeeg(Bekleding_Type_Filters_Invoer),Bekleding_AfstandHouders_Ervaring)</f>
        <v>#VALUE!</v>
      </c>
      <c r="BQ3" s="373" t="e">
        <f>StabToplaag_ToetsE_gt_verh_Bepaal(StabToplaag_ToetsE_type,HsDeltaD_verh,Water_XsiOp,Bekleding_Toplaag_Delta,JN(Bekleding_Toplaag_AsfaltJN),h_hoog,h_laag,FictieveTaludHelling,RekenDikte,JN(Bekleding_Toplaag_SlibJN))</f>
        <v>#VALUE!</v>
      </c>
      <c r="BR3" s="373" t="e">
        <f>StabToplaag_ToetsE_to_verh_Bepaal(StabToplaag_ToetsE_type,HsDeltaD_verh,Water_XsiOp,h_hoog,h_laag,FictieveTaludHelling,JN(Bekleding_Toplaag_SlibJN),JNO(Bekleding_BovensteFilterlaag_SlibJNO),JN(Bekleding_Toplaag_AsfaltJN),RekenDikte)</f>
        <v>#VALUE!</v>
      </c>
      <c r="BS3" s="477" t="e">
        <f>StabToplaag_ToetsE_Score_Bepaal(StabToplaag_ToetsE_gt_verh,StabToplaag_ToetsE_to_verh,StabToplaag_ToetsE_type,JN(Bekleding_Toplaag_SlibJN),JNO(Bekleding_BovensteFilterlaag_SlibJNO),JN(Bekleding_Toplaag_AsfaltJN),Water_Hs,Water_Tp,FictieveTaludHelling,h_laag,h_hoog,Water_MaatgevendeWaterstand,Onder_Berm_Boven,Cw_Onvoldoende)</f>
        <v>#VALUE!</v>
      </c>
      <c r="BT3" s="529" t="e">
        <f>HsDeltaD_verh*Water_XsiOp^(2/3)</f>
        <v>#VALUE!</v>
      </c>
      <c r="BU3" s="367" t="str">
        <f>IF(ISERROR(StabToplaag_ToetsG_BelastingEnSterkte_Verh_1),"Niet uitgevoerd",StabToplaag_ToetsG_Resultaat_Bepaal(StabToplaag_ToetsG_BelastingEnSterkte_Verh_1,StabToplaag_ToetsG_BelastingEnSterkte_Verh_2,StabToplaag_ToetsG_BelastingEnSterkte_Verh_3,StabToplaag_ToetsG_BelastingEnSterkte_Verh_4,Bekleding_Type_Toplaag,Bekleding_Type_Filters,Bekleding_BovensteFilterlaag_b,JN(Bekleding_AlsBermJN),JN(Bekleding_Toplaag_AsfaltJN),Bekleding_AfstandHouders_Ervaring,StabToplaag_ToetsG_Klemfactor_GoedTwijfel))</f>
        <v>Niet uitgevoerd</v>
      </c>
      <c r="BV3" s="367" t="str">
        <f>IF(ISERROR(StabToplaag_ToetsG_BelastingEnSterkte_Verh_1),"Niet uitgevoerd",StabToplaag_ToetsG_Score_Bepaal(StabToplaag_ToetsG_BelastingEnSterkte_Verh_1,StabToplaag_ToetsG_BelastingEnSterkte_Verh_2,StabToplaag_ToetsG_BelastingEnSterkte_Verh_3,StabToplaag_ToetsG_BelastingEnSterkte_Verh_4,Bekleding_Type_Toplaag,Bekleding_Type_Filters,Bekleding_BovensteFilterlaag_b,JN(Bekleding_AlsBermJN),HsDeltaD_verh,Water_XsiOp,JN(Bekleding_Toplaag_AsfaltJN),Bekleding_AfstandHouders_Ervaring,StabToplaag_ToetsG_Klemfactor_GoedTwijfel,Cw_Onvoldoende))</f>
        <v>Niet uitgevoerd</v>
      </c>
      <c r="BW3" s="438" t="str">
        <f>IF(ISERROR(StabToplaag_ToetsG_BelastingEnSterkte_Verh_1)," n.v.t.",iif((StabToplaag_ToetG_F&gt;6),"? (F&gt;6)",StabToplaag_ToetsG_Klemfactor_GoedTwijfel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 n.v.t.</v>
      </c>
      <c r="BX3" s="438" t="str">
        <f>IF(ISERROR(StabToplaag_ToetsG_BelastingEnSterkte_Verh_1)," n.v.t.",iif(+(StabToplaag_ToetG_F&gt;6),"? (F&gt;6)",StabToplaag_ToetsG_Klemfactor_TwijfelOnvoldoende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 n.v.t.</v>
      </c>
      <c r="BY3" s="367" t="e">
        <f>StabToplaag_Score_Bepaal(StabToplaag_ToetsE_score,StabToplaag_ToetsG_Score,HsDeltaD_verh,Water_XsiOp,h_laag,Water_Toetspeil2000)</f>
        <v>#VALUE!</v>
      </c>
      <c r="BZ3" s="435" t="str">
        <f>iif(AND(Bekleding_BovensteOvergangsconstructie&lt;&gt;"",OR(Bekleding_BovensteOvergangsconstructie="a",Bekleding_BovensteOvergangsconstructie="b",Bekleding_BovensteOvergangsconstructie="b1",Bekleding_BovensteOvergangsconstructie="b2",Bekleding_BovensteOvergangsconstructie="b3",Bekleding_BovensteOvergangsconstructie="b4")),"Goed","Geavanceerd")</f>
        <v>Geavanceerd</v>
      </c>
      <c r="CA3" s="487" t="e">
        <f>Reststerkte_Filterlaag_Bepaal(Water_Hs,Water_Tp,Water_Beta,HsDeltaD_verh,Water_XsiOp,Bekleding_BovensteFilterlaag_b,Bekleding_TweedeFilterlaag_b)</f>
        <v>#VALUE!</v>
      </c>
      <c r="CB3" s="366" t="e">
        <f>Reststerkte_Kleilaag_Bepaal(h_hoog,Bekleding_Klei_b,Water_GHW,Water_Hs,Bekleding_Klei_Kwaliteit,Klei_Dijkopbouw)</f>
        <v>#VALUE!</v>
      </c>
      <c r="CC3" s="367" t="e">
        <f>Reststerkte_Score_Bepaal(Bekleding_Klei_b,Water_Stormduur,Reststerkte_Filterlaag,Reststerkte_Kleilaag)</f>
        <v>#VALUE!</v>
      </c>
      <c r="CD3" s="368" t="str">
        <f>IF(ISERR(Afschuiving_Score)+ISERR(MatTransp_Score)+ISERR(StabToplaag_Score)+ISERR(Reststerkte_Score)=0,Eindscore_Bepaal(JNO(Bekleding_RuimteToplaagFilterJNO),Afschuiving_Score,MatTransp_Score,StabToplaag_Score,Reststerkte_Score,MatTransp_UitFilter_Score,Bovenste_OvergangsConstructie_Score,h_laag,Golfoploop,Water_MaatgevendeWaterstand),"FOUT")</f>
        <v>FOUT</v>
      </c>
      <c r="CE3" s="534" t="e">
        <f>iif(h_laag&gt;=Water_MaatgevendeWaterstand,"n.v.t.",SQRT(2.3*9.8*Bekleding_Toplaag_Delta*Bekleding_Toplaag_D))</f>
        <v>#VALUE!</v>
      </c>
      <c r="CF3" s="370"/>
      <c r="CG3" s="367">
        <f>VerschilTussenBeheersOordeelEnSteenToets(Eindscore,Beheerdersoordeel)</f>
      </c>
      <c r="CH3" s="431"/>
      <c r="CI3" s="441" t="str">
        <f>EindOordeel(Eindscore,Beheerdersoordeel)</f>
        <v>FOUT</v>
      </c>
      <c r="CJ3" s="371"/>
      <c r="CK3" s="372" t="str">
        <f>IF(Bekleding_Hellingtalud_Invoer&lt;1/9,"Ja","Nee")</f>
        <v>Ja</v>
      </c>
      <c r="CL3" s="365">
        <f>iif(Bekleding_HellingOnderTalud_Invoer="",Bekleding_Hellingtalud_Invoer,Bekleding_HellingOnderTalud_Invoer)</f>
        <v>0</v>
      </c>
      <c r="CM3" s="365">
        <f>IF(Bekleding_Berm_NiveauVoorrand_invoer="",10,Bekleding_Berm_NiveauVoorrand_invoer)</f>
        <v>10</v>
      </c>
      <c r="CN3" s="365">
        <f>iif(Bekleding_HellingBovenTalud_Invoer="",Bekleding_Hellingtalud_Invoer,Bekleding_HellingBovenTalud_Invoer)</f>
        <v>0</v>
      </c>
      <c r="CO3" s="365">
        <f>Bekleding_CheckType(Bekleding_Type_Toplaag)</f>
        <v>0</v>
      </c>
      <c r="CP3" s="373" t="str">
        <f>IF(isLeeg(Bekleding_Type_Filters_Invoer)&lt;&gt;0,"st",Bekleding_Type_Filters_Invoer)</f>
        <v>st</v>
      </c>
      <c r="CQ3" s="365">
        <f>IF(Bekleding_Toplaag_B_Invoer=0,IF(AND(26&lt;=Bekleding_Type_Toplaag,Bekleding_Type_Toplaag&lt;29),0.3,0),Bekleding_Toplaag_B_Invoer)</f>
        <v>0</v>
      </c>
      <c r="CR3" s="365">
        <f>IF(Bekleding_Toplaag_L_Invoer=0,IF(AND(26&lt;=Bekleding_Type_Toplaag,Bekleding_Type_Toplaag&lt;29),0.3,0),Bekleding_Toplaag_L_Invoer)</f>
        <v>0</v>
      </c>
      <c r="CS3" s="365">
        <f>IF(Bekleding_Toplaag_Spleetbreedte_Invoer=0,1000*Bekleding_Toplaag_Spleetbreedte_Bereken(Bekleding_Toplaag_B,Bekleding_Toplaag_L,Bekleding_Toplaag_OpenOpp_Relatief_Invoer/100),Bekleding_Toplaag_Spleetbreedte_Invoer)</f>
        <v>0</v>
      </c>
      <c r="CT3" s="365" t="e">
        <f>IF(Bekleding_Toplaag_OpenOpp_Relatief_Invoer=0,100*Bekleding_Toplaag_OpenOpp_Relatief_Bereken(Bekleding_Toplaag_B,Bekleding_Toplaag_L,Bekleding_Toplaag_Spleetbreedte_Invoer/1000),Bekleding_Toplaag_OpenOpp_Relatief_Invoer)</f>
        <v>#VALUE!</v>
      </c>
      <c r="CU3" s="365">
        <f>IF(isLeeg(Bekleding_Toplaag_SMassa_Invoer)&lt;&gt;0,HaalUitSheetAlgemeen(Bekleding_Type_Toplaag,"SMassa","Soortelijke massa"),Bekleding_Toplaag_SMassa_Invoer)</f>
        <v>0</v>
      </c>
      <c r="CV3" s="365">
        <f>Bekleding_Toplaag_Delta_Bereken(Bekleding_Toplaag_SMassa)</f>
        <v>0.009999999776482582</v>
      </c>
      <c r="CW3" s="365">
        <f>IF(Bekleding_GeoTextiel1_O90_Invoer=0,10000,Bekleding_GeoTextiel1_O90_Invoer)</f>
        <v>10000</v>
      </c>
      <c r="CX3" s="372" t="str">
        <f>AsfaltJN(Bekleding_Type_Toplaag)</f>
        <v>Nee</v>
      </c>
      <c r="CY3" s="374">
        <f>IF(AND(0&lt;Bekleding_BovensteFilterlaag_b_Invoer,Bekleding_BovensteFilterlaag_b_Invoer&lt;MinimaleDikteFilterlaag),MinimaleDikteFilterlaag,Bekleding_BovensteFilterlaag_b_Invoer)</f>
        <v>0</v>
      </c>
      <c r="CZ3" s="365">
        <f>IF(Bekleding_BovensteFilterlaag_Porositeit_Invoer=0,Porositeit_Bepaal(Bekleding_Type_Filters_Invoer,1),Bekleding_BovensteFilterlaag_Porositeit_Invoer)</f>
        <v>0.4000000059604645</v>
      </c>
      <c r="DA3" s="365">
        <f>IF(Bekleding_BovensteFilterlaag_D50_Invoer=0,1.2*Bekleding_BovensteFilterlaag_D15,Bekleding_BovensteFilterlaag_D50_Invoer)</f>
        <v>0</v>
      </c>
      <c r="DB3" s="373" t="str">
        <f>IF(Bekleding_TweedeFilterlaag_b_Invoer=0,"nee","ja")</f>
        <v>nee</v>
      </c>
      <c r="DC3" s="374">
        <f>IF(AND(0&lt;Bekleding_TweedeFilterlaag_b_Invoer,Bekleding_TweedeFilterlaag_b_Invoer&lt;MinimaleDikteFilterlaag),MinimaleDikteFilterlaag,Bekleding_TweedeFilterlaag_b_Invoer)</f>
        <v>0</v>
      </c>
      <c r="DD3" s="365">
        <f>IF(Bekleding_TweedeFilterlaag_Porositeit_Invoer=0,Porositeit_Bepaal(Bekleding_Type_Filters_Invoer,2),Bekleding_TweedeFilterlaag_Porositeit_Invoer)</f>
        <v>0.4000000059604645</v>
      </c>
      <c r="DE3" s="365">
        <f>IF(Bekleding_TweedeFilterlaag_D50_Invoer=0,1.2*Bekleding_TweedeFilterlaag_D15,Bekleding_TweedeFilterlaag_D50_Invoer)</f>
        <v>0</v>
      </c>
      <c r="DF3" s="365">
        <f>IF(Bekleding_Ondergrond_D90_Invoer=0,Bekleding_Ondergrond_D50*1.2,Bekleding_Ondergrond_D90_Invoer)</f>
        <v>0.156</v>
      </c>
      <c r="DG3" s="365">
        <f>IF(Bekleding_Ondergrond_D50_Invoer=0,0.13,Bekleding_Ondergrond_D50_Invoer)</f>
        <v>0.13</v>
      </c>
      <c r="DH3" s="365">
        <f>IF(Bekleding_Ondergrond_D15_Invoer=0,Bekleding_Ondergrond_D50/1.4,Bekleding_Ondergrond_D15_Invoer)</f>
        <v>0.09285714285714286</v>
      </c>
      <c r="DI3" s="365">
        <f>IF(Bekleding_Geotextiel2_O90_Invoer=0,10000,Bekleding_Geotextiel2_O90_Invoer)</f>
        <v>10000</v>
      </c>
      <c r="DJ3" s="372" t="str">
        <f>IF(Bekleding_Geotextiel2_O90=10000,"nee","ja")</f>
        <v>nee</v>
      </c>
      <c r="DK3" s="365">
        <f>IF(Water_Stormduur_Invoer=0,48,Water_Stormduur_Invoer)</f>
        <v>48</v>
      </c>
      <c r="DL3" s="375"/>
      <c r="DM3" s="365">
        <f>IF(JN(Bekleding_Geotextiel2_Aanwezig),Bekleding_Geotextiel2_O90,Bekleding_GeoTextiel1_O90)</f>
        <v>10000</v>
      </c>
      <c r="DN3" s="365">
        <f>IF(JN(Bekleding_TweedeFilterlaag_Aanwezig),Bekleding_TweedeFilterlaag_D15,Bekleding_BovensteFilterlaag_D15)</f>
        <v>0</v>
      </c>
      <c r="DO3" s="365">
        <f>IF(JN(Bekleding_TweedeFilterlaag_Aanwezig),Bekleding_TweedeFilterlaag_D50,Bekleding_BovensteFilterlaag_D50)</f>
        <v>0</v>
      </c>
      <c r="DP3" s="369" t="e">
        <f>InvloedsfactorBerm_Bereken(Onder_Berm_Boven,Water_Hs,Water_MaatgevendeWaterstand,Bekleding_Berm_NiveauVoorrand,Water_Tp,Bekleding_Berm_OnderTalud,Bekleding_Bermbreedte)</f>
        <v>#VALUE!</v>
      </c>
      <c r="DQ3" s="376" t="e">
        <f>InvloedsFactorBerm2_Bereken(h_laag,Water_MaatgevendeWaterstand,Bekleding_Toplaag_D,Onder_Berm_Boven,Bekleding_Bermbreedte,Bekleding_Berm_NiveauVoorrand,BermHelling,Water_Hs,InvloedsfactorBerm,Fictieve_Onder_Berm_Boven)</f>
        <v>#VALUE!</v>
      </c>
      <c r="DR3" s="481" t="e">
        <f>FictieveTaludHelling_Bereken(Onder_Berm_Boven,Bekleding_Berm_OnderTalud,Bekleding_HellingBovenTalud,Bekleding_Hellingtalud_Invoer,Water_Hs,h_laag,h_hoog,Water_MaatgevendeWaterstand,Bekleding_Berm_NiveauVoorrand)</f>
        <v>#VALUE!</v>
      </c>
      <c r="DS3" s="376" t="str">
        <f>Onder_Berm_Boven_Bereken(BermHelling,h_laag,h_hoog,Bekleding_Berm_NiveauVoorrand,Bekleding_Hellingtalud_Invoer,Bekleding_Berm_OnderTalud,Bekleding_HellingBovenTalud,Bekleding_Bermbreedte,ROW())</f>
        <v>Fout in geometrie</v>
      </c>
      <c r="DT3" s="365" t="e">
        <f>Fictieve_Onder_Berm_Boven_Bereken(SubVakgrenzen_Van,SubVakgrenzen_Tot,Water_TabelIndex,Onder_Berm_Boven,Bekleding_Hellingtalud_Invoer,Bekleding_Berm_OnderTalud,Bekleding_HellingBovenTalud,Bekleding_Berm_NiveauVoorrand,h_laag,h_hoog,Water_Toetspeil2000,Bekleding_Bermbreedte,Bekleding_Toplaag_D)</f>
        <v>#VALUE!</v>
      </c>
      <c r="DU3" s="376" t="e">
        <f>RekenDikte_Bereken(h_laag,Water_MaatgevendeWaterstand,Bekleding_Toplaag_D,Onder_Berm_Boven,Bekleding_Bermbreedte,Bekleding_Berm_NiveauVoorrand,BermHelling,Water_Hs,InvloedsfactorBerm,Fictieve_Onder_Berm_Boven)</f>
        <v>#VALUE!</v>
      </c>
      <c r="DV3" s="376" t="e">
        <f>Cw_Onvoldoende_Bereken(h_laag,Water_MaatgevendeWaterstand,Bekleding_Toplaag_D,Onder_Berm_Boven,Bekleding_Bermbreedte,Bekleding_Berm_NiveauVoorrand,BermHelling,Water_Hs,InvloedsfactorBerm,Fictieve_Onder_Berm_Boven)</f>
        <v>#VALUE!</v>
      </c>
      <c r="DW3" s="376" t="e">
        <f>Golfoploop_Bereken(Water_MaatgevendeWaterstand,Bekleding_Berm_NiveauVoorrand,Water_Hs,FictieveTaludHelling,Bekleding_HellingBovenTalud,Bekleding_Hellingtalud_Invoer,Water_XsiOp,Bekleding_Bermbreedte)</f>
        <v>#VALUE!</v>
      </c>
      <c r="DX3" s="376" t="e">
        <f>StabToplaag_ToetsG_Leklengte(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#VALUE!</v>
      </c>
      <c r="DY3" s="376" t="e">
        <f>StabToplaag_ToetsG_A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#VALUE!</v>
      </c>
      <c r="DZ3" s="376" t="e">
        <f>StabToplaag_ToetsG_B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#VALUE!</v>
      </c>
      <c r="EA3" s="376">
        <f>Bekleding_Toplaag_Inklemfactor_Bepaal(Bekleding_Type_Toplaag,JNO(Bekleding_Toplaag_GoedGeklemdJNO))</f>
        <v>1</v>
      </c>
      <c r="EB3" s="376" t="e">
        <f>IF((StabToplaag_ToetG_Score="n.v.t.")+(StabToplaag_ToetG_Score="Niet uitgevoerd")+(StabToplaag_ToetG_F&gt;6),"n.v.t.",KlemfactorScore(Bekleding_Toplaag_Inklemfactor,StabToplaag_ToetsG_Klemfactor_TwijfelOnvoldoende,StabToplaag_ToetsG_Klemfactor_GoedTwijfel))</f>
        <v>#VALUE!</v>
      </c>
      <c r="EC3" s="365" t="e">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1,Bekleding_Toplaag_Inwasmateriaal_D15/1000,Bekleding_Toplaag_Inwasmateriaal_Porositeit,JN("Nee"),InvloedsfactorBerm)</f>
        <v>#VALUE!</v>
      </c>
      <c r="ED3" s="365" t="e">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Water_Hs,Water_Tp,0,JN(Bekleding_AlsBermJN),JN("Nee"),1,Bekleding_Toplaag_Inwasmateriaal_D15/1000,Bekleding_Toplaag_Inwasmateriaal_Porositeit,JN("Nee"),InvloedsfactorBerm)</f>
        <v>#VALUE!</v>
      </c>
      <c r="EE3" s="377" t="e">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1.4*Water_Hs,Water_Tp,ROW(),JN(Bekleding_AlsBermJN),JN("Ja"),1,Bekleding_Toplaag_Inwasmateriaal_D15/1000,Bekleding_Toplaag_Inwasmateriaal_Porositeit,JN("Nee"),InvloedsfactorBerm)</f>
        <v>#VALUE!</v>
      </c>
      <c r="EF3" s="377" t="e">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1.4*Water_Hs,Water_Tp,0,JN(Bekleding_AlsBermJN),JN("Ja"),1,Bekleding_Toplaag_Inwasmateriaal_D15/1000,Bekleding_Toplaag_Inwasmateriaal_Porositeit,JN("Nee"),InvloedsfactorBerm)</f>
        <v>#VALUE!</v>
      </c>
      <c r="EG3" s="378">
        <v>1</v>
      </c>
    </row>
    <row r="4" spans="1:137" s="475" customFormat="1" ht="13.5" thickBot="1">
      <c r="A4" s="504" t="s">
        <v>562</v>
      </c>
      <c r="B4" s="506"/>
      <c r="C4" s="236"/>
      <c r="D4" s="237"/>
      <c r="E4" s="459" t="s">
        <v>4</v>
      </c>
      <c r="F4" s="437" t="s">
        <v>5</v>
      </c>
      <c r="G4" s="235" t="s">
        <v>6</v>
      </c>
      <c r="H4" s="511" t="s">
        <v>7</v>
      </c>
      <c r="I4" s="511" t="s">
        <v>7</v>
      </c>
      <c r="J4" s="581" t="s">
        <v>8</v>
      </c>
      <c r="K4" s="582"/>
      <c r="L4" s="430" t="s">
        <v>9</v>
      </c>
      <c r="M4" s="430" t="s">
        <v>9</v>
      </c>
      <c r="N4" s="430" t="s">
        <v>7</v>
      </c>
      <c r="O4" s="430" t="s">
        <v>49</v>
      </c>
      <c r="P4" s="430" t="s">
        <v>9</v>
      </c>
      <c r="Q4" s="430" t="s">
        <v>9</v>
      </c>
      <c r="R4" s="583" t="s">
        <v>11</v>
      </c>
      <c r="S4" s="584"/>
      <c r="T4" s="584"/>
      <c r="U4" s="584"/>
      <c r="V4" s="584"/>
      <c r="W4" s="584"/>
      <c r="X4" s="584"/>
      <c r="Y4" s="584"/>
      <c r="Z4" s="584"/>
      <c r="AA4" s="584"/>
      <c r="AB4" s="584"/>
      <c r="AC4" s="585"/>
      <c r="AD4" s="583" t="s">
        <v>12</v>
      </c>
      <c r="AE4" s="584"/>
      <c r="AF4" s="584"/>
      <c r="AG4" s="584"/>
      <c r="AH4" s="585"/>
      <c r="AI4" s="583" t="s">
        <v>13</v>
      </c>
      <c r="AJ4" s="584"/>
      <c r="AK4" s="584"/>
      <c r="AL4" s="585"/>
      <c r="AM4" s="526" t="s">
        <v>14</v>
      </c>
      <c r="AN4" s="583" t="s">
        <v>15</v>
      </c>
      <c r="AO4" s="584"/>
      <c r="AP4" s="584"/>
      <c r="AQ4" s="584"/>
      <c r="AR4" s="585"/>
      <c r="AS4" s="586" t="s">
        <v>495</v>
      </c>
      <c r="AT4" s="587"/>
      <c r="AU4" s="588"/>
      <c r="AV4" s="429" t="s">
        <v>416</v>
      </c>
      <c r="AW4" s="592" t="s">
        <v>17</v>
      </c>
      <c r="AX4" s="593"/>
      <c r="AY4" s="593"/>
      <c r="AZ4" s="593"/>
      <c r="BA4" s="474" t="s">
        <v>18</v>
      </c>
      <c r="BB4" s="527"/>
      <c r="BC4" s="238"/>
      <c r="BD4" s="238"/>
      <c r="BE4" s="239" t="s">
        <v>19</v>
      </c>
      <c r="BF4" s="240"/>
      <c r="BG4" s="241"/>
      <c r="BH4" s="241"/>
      <c r="BI4" s="242"/>
      <c r="BJ4" s="434" t="s">
        <v>401</v>
      </c>
      <c r="BK4" s="583" t="s">
        <v>421</v>
      </c>
      <c r="BL4" s="585"/>
      <c r="BM4" s="589" t="s">
        <v>20</v>
      </c>
      <c r="BN4" s="590"/>
      <c r="BO4" s="590"/>
      <c r="BP4" s="590"/>
      <c r="BQ4" s="590"/>
      <c r="BR4" s="590"/>
      <c r="BS4" s="590"/>
      <c r="BT4" s="590"/>
      <c r="BU4" s="590"/>
      <c r="BV4" s="590"/>
      <c r="BW4" s="590"/>
      <c r="BX4" s="590"/>
      <c r="BY4" s="591"/>
      <c r="BZ4" s="449" t="s">
        <v>101</v>
      </c>
      <c r="CA4" s="243" t="s">
        <v>496</v>
      </c>
      <c r="CB4" s="244"/>
      <c r="CC4" s="245"/>
      <c r="CD4" s="246" t="s">
        <v>21</v>
      </c>
      <c r="CE4" s="535" t="s">
        <v>417</v>
      </c>
      <c r="CF4" s="389" t="s">
        <v>22</v>
      </c>
      <c r="CG4" s="459" t="s">
        <v>23</v>
      </c>
      <c r="CH4" s="471" t="s">
        <v>24</v>
      </c>
      <c r="CI4" s="247"/>
      <c r="CJ4" s="248" t="s">
        <v>25</v>
      </c>
      <c r="CK4" s="249" t="s">
        <v>26</v>
      </c>
      <c r="CL4" s="249" t="s">
        <v>9</v>
      </c>
      <c r="CM4" s="249" t="s">
        <v>7</v>
      </c>
      <c r="CN4" s="249" t="s">
        <v>9</v>
      </c>
      <c r="CO4" s="249" t="s">
        <v>27</v>
      </c>
      <c r="CP4" s="249" t="s">
        <v>8</v>
      </c>
      <c r="CQ4" s="251" t="s">
        <v>28</v>
      </c>
      <c r="CR4" s="252"/>
      <c r="CS4" s="251"/>
      <c r="CT4" s="251" t="s">
        <v>28</v>
      </c>
      <c r="CU4" s="251"/>
      <c r="CV4" s="253"/>
      <c r="CW4" s="253"/>
      <c r="CX4" s="254"/>
      <c r="CY4" s="253" t="s">
        <v>29</v>
      </c>
      <c r="CZ4" s="253"/>
      <c r="DA4" s="254"/>
      <c r="DB4" s="253" t="s">
        <v>30</v>
      </c>
      <c r="DC4" s="255"/>
      <c r="DD4" s="253"/>
      <c r="DE4" s="254"/>
      <c r="DF4" s="253" t="s">
        <v>31</v>
      </c>
      <c r="DG4" s="253"/>
      <c r="DH4" s="254"/>
      <c r="DI4" s="253" t="s">
        <v>32</v>
      </c>
      <c r="DJ4" s="256"/>
      <c r="DK4" s="257" t="s">
        <v>33</v>
      </c>
      <c r="DL4" s="255" t="s">
        <v>34</v>
      </c>
      <c r="DM4" s="258" t="s">
        <v>35</v>
      </c>
      <c r="DN4" s="258"/>
      <c r="DO4" s="258"/>
      <c r="DP4" s="249" t="s">
        <v>36</v>
      </c>
      <c r="DQ4" s="249" t="s">
        <v>36</v>
      </c>
      <c r="DR4" s="482" t="s">
        <v>409</v>
      </c>
      <c r="DS4" s="300" t="s">
        <v>437</v>
      </c>
      <c r="DT4" s="300" t="s">
        <v>409</v>
      </c>
      <c r="DU4" s="300" t="s">
        <v>476</v>
      </c>
      <c r="DV4" s="300" t="s">
        <v>477</v>
      </c>
      <c r="DW4" s="300" t="s">
        <v>440</v>
      </c>
      <c r="DX4" s="259"/>
      <c r="DY4" s="259"/>
      <c r="DZ4" s="259"/>
      <c r="EA4" s="259"/>
      <c r="EB4" s="259"/>
      <c r="EC4" s="259" t="s">
        <v>37</v>
      </c>
      <c r="ED4" s="259"/>
      <c r="EE4" s="259"/>
      <c r="EF4" s="259"/>
      <c r="EG4" s="562"/>
    </row>
    <row r="5" spans="1:137" s="403" customFormat="1" ht="13.5" customHeight="1" thickBot="1">
      <c r="A5" s="261" t="s">
        <v>38</v>
      </c>
      <c r="B5" s="262" t="s">
        <v>39</v>
      </c>
      <c r="C5" s="380" t="s">
        <v>40</v>
      </c>
      <c r="D5" s="381"/>
      <c r="E5" s="261" t="s">
        <v>41</v>
      </c>
      <c r="F5" s="436" t="s">
        <v>42</v>
      </c>
      <c r="G5" s="382" t="s">
        <v>43</v>
      </c>
      <c r="H5" s="512" t="s">
        <v>44</v>
      </c>
      <c r="I5" s="512" t="s">
        <v>45</v>
      </c>
      <c r="J5" s="514" t="s">
        <v>46</v>
      </c>
      <c r="K5" s="383" t="s">
        <v>47</v>
      </c>
      <c r="L5" s="263" t="s">
        <v>464</v>
      </c>
      <c r="M5" s="263" t="s">
        <v>44</v>
      </c>
      <c r="N5" s="263" t="s">
        <v>108</v>
      </c>
      <c r="O5" s="263" t="s">
        <v>107</v>
      </c>
      <c r="P5" s="263" t="s">
        <v>136</v>
      </c>
      <c r="Q5" s="263" t="s">
        <v>45</v>
      </c>
      <c r="R5" s="520" t="s">
        <v>50</v>
      </c>
      <c r="S5" s="430" t="s">
        <v>51</v>
      </c>
      <c r="T5" s="430" t="s">
        <v>52</v>
      </c>
      <c r="U5" s="264" t="s">
        <v>53</v>
      </c>
      <c r="V5" s="264" t="s">
        <v>54</v>
      </c>
      <c r="W5" s="459" t="s">
        <v>429</v>
      </c>
      <c r="X5" s="386" t="s">
        <v>55</v>
      </c>
      <c r="Y5" s="385" t="s">
        <v>56</v>
      </c>
      <c r="Z5" s="594" t="s">
        <v>57</v>
      </c>
      <c r="AA5" s="595"/>
      <c r="AB5" s="387" t="s">
        <v>58</v>
      </c>
      <c r="AC5" s="388" t="s">
        <v>59</v>
      </c>
      <c r="AD5" s="430" t="s">
        <v>61</v>
      </c>
      <c r="AE5" s="265" t="s">
        <v>62</v>
      </c>
      <c r="AF5" s="265" t="s">
        <v>63</v>
      </c>
      <c r="AG5" s="515" t="s">
        <v>64</v>
      </c>
      <c r="AH5" s="266" t="s">
        <v>59</v>
      </c>
      <c r="AI5" s="493" t="s">
        <v>61</v>
      </c>
      <c r="AJ5" s="265" t="s">
        <v>62</v>
      </c>
      <c r="AK5" s="268" t="s">
        <v>63</v>
      </c>
      <c r="AL5" s="515" t="s">
        <v>64</v>
      </c>
      <c r="AM5" s="269" t="s">
        <v>65</v>
      </c>
      <c r="AN5" s="384" t="s">
        <v>463</v>
      </c>
      <c r="AO5" s="263" t="s">
        <v>469</v>
      </c>
      <c r="AP5" s="263" t="s">
        <v>442</v>
      </c>
      <c r="AQ5" s="263" t="s">
        <v>63</v>
      </c>
      <c r="AR5" s="263" t="s">
        <v>66</v>
      </c>
      <c r="AS5" s="442" t="s">
        <v>62</v>
      </c>
      <c r="AT5" s="263" t="s">
        <v>63</v>
      </c>
      <c r="AU5" s="432" t="s">
        <v>66</v>
      </c>
      <c r="AV5" s="275" t="s">
        <v>413</v>
      </c>
      <c r="AW5" s="596" t="s">
        <v>482</v>
      </c>
      <c r="AX5" s="597"/>
      <c r="AY5" s="430" t="s">
        <v>410</v>
      </c>
      <c r="AZ5" s="266" t="s">
        <v>69</v>
      </c>
      <c r="BA5" s="271"/>
      <c r="BB5" s="264" t="s">
        <v>70</v>
      </c>
      <c r="BC5" s="264" t="s">
        <v>71</v>
      </c>
      <c r="BD5" s="272" t="s">
        <v>72</v>
      </c>
      <c r="BE5" s="390" t="s">
        <v>171</v>
      </c>
      <c r="BF5" s="390" t="s">
        <v>73</v>
      </c>
      <c r="BG5" s="598" t="str">
        <f>"gebied: "&amp;ZeeMeer</f>
        <v>gebied: zee</v>
      </c>
      <c r="BH5" s="599"/>
      <c r="BI5" s="575" t="str">
        <f>"f(strijk): "&amp;TEXT(InvloedsfactorStrijkgolven,"0.0")</f>
        <v>f(strijk): 1.0</v>
      </c>
      <c r="BJ5" s="246" t="s">
        <v>76</v>
      </c>
      <c r="BK5" s="460" t="s">
        <v>422</v>
      </c>
      <c r="BL5" s="437" t="s">
        <v>422</v>
      </c>
      <c r="BM5" s="460" t="s">
        <v>508</v>
      </c>
      <c r="BN5" s="262" t="s">
        <v>471</v>
      </c>
      <c r="BO5" s="533" t="s">
        <v>472</v>
      </c>
      <c r="BP5" s="444" t="s">
        <v>77</v>
      </c>
      <c r="BQ5" s="489"/>
      <c r="BR5" s="489"/>
      <c r="BS5" s="445"/>
      <c r="BT5" s="530" t="s">
        <v>78</v>
      </c>
      <c r="BU5" s="446"/>
      <c r="BV5" s="447"/>
      <c r="BW5" s="448"/>
      <c r="BX5" s="448"/>
      <c r="BY5" s="276" t="s">
        <v>76</v>
      </c>
      <c r="BZ5" s="450" t="s">
        <v>475</v>
      </c>
      <c r="CA5" s="452" t="s">
        <v>79</v>
      </c>
      <c r="CB5" s="453" t="s">
        <v>80</v>
      </c>
      <c r="CC5" s="454" t="s">
        <v>76</v>
      </c>
      <c r="CD5" s="277" t="s">
        <v>81</v>
      </c>
      <c r="CE5" s="536" t="s">
        <v>418</v>
      </c>
      <c r="CF5" s="274" t="s">
        <v>82</v>
      </c>
      <c r="CG5" s="261" t="s">
        <v>83</v>
      </c>
      <c r="CH5" s="278"/>
      <c r="CI5" s="279"/>
      <c r="CJ5" s="278"/>
      <c r="CK5" s="250" t="s">
        <v>84</v>
      </c>
      <c r="CL5" s="250" t="s">
        <v>44</v>
      </c>
      <c r="CM5" s="250" t="s">
        <v>108</v>
      </c>
      <c r="CN5" s="250" t="s">
        <v>45</v>
      </c>
      <c r="CO5" s="280"/>
      <c r="CP5" s="280" t="s">
        <v>85</v>
      </c>
      <c r="CQ5" s="281" t="s">
        <v>51</v>
      </c>
      <c r="CR5" s="391" t="s">
        <v>52</v>
      </c>
      <c r="CS5" s="281" t="s">
        <v>53</v>
      </c>
      <c r="CT5" s="281" t="s">
        <v>86</v>
      </c>
      <c r="CU5" s="281" t="s">
        <v>87</v>
      </c>
      <c r="CV5" s="281" t="s">
        <v>88</v>
      </c>
      <c r="CW5" s="281" t="s">
        <v>65</v>
      </c>
      <c r="CX5" s="281" t="s">
        <v>89</v>
      </c>
      <c r="CY5" s="282" t="s">
        <v>61</v>
      </c>
      <c r="CZ5" s="282" t="s">
        <v>90</v>
      </c>
      <c r="DA5" s="282" t="s">
        <v>63</v>
      </c>
      <c r="DB5" s="283" t="s">
        <v>91</v>
      </c>
      <c r="DC5" s="284" t="s">
        <v>61</v>
      </c>
      <c r="DD5" s="282" t="s">
        <v>90</v>
      </c>
      <c r="DE5" s="282" t="s">
        <v>63</v>
      </c>
      <c r="DF5" s="282" t="s">
        <v>66</v>
      </c>
      <c r="DG5" s="284" t="s">
        <v>63</v>
      </c>
      <c r="DH5" s="284" t="s">
        <v>62</v>
      </c>
      <c r="DI5" s="392" t="s">
        <v>65</v>
      </c>
      <c r="DJ5" s="283" t="s">
        <v>91</v>
      </c>
      <c r="DK5" s="393" t="s">
        <v>93</v>
      </c>
      <c r="DL5" s="394" t="s">
        <v>34</v>
      </c>
      <c r="DM5" s="394" t="s">
        <v>94</v>
      </c>
      <c r="DN5" s="395" t="s">
        <v>95</v>
      </c>
      <c r="DO5" s="396"/>
      <c r="DP5" s="280" t="s">
        <v>96</v>
      </c>
      <c r="DQ5" s="280" t="s">
        <v>96</v>
      </c>
      <c r="DR5" s="483" t="s">
        <v>48</v>
      </c>
      <c r="DS5" s="250" t="s">
        <v>439</v>
      </c>
      <c r="DT5" s="300" t="s">
        <v>437</v>
      </c>
      <c r="DU5" s="397"/>
      <c r="DV5" s="397"/>
      <c r="DW5" s="397" t="s">
        <v>441</v>
      </c>
      <c r="DX5" s="399" t="s">
        <v>97</v>
      </c>
      <c r="DY5" s="399" t="s">
        <v>98</v>
      </c>
      <c r="DZ5" s="399" t="s">
        <v>99</v>
      </c>
      <c r="EA5" s="400" t="s">
        <v>100</v>
      </c>
      <c r="EB5" s="400" t="s">
        <v>101</v>
      </c>
      <c r="EC5" s="401" t="s">
        <v>102</v>
      </c>
      <c r="ED5" s="402"/>
      <c r="EE5" s="401"/>
      <c r="EF5" s="402"/>
      <c r="EG5" s="563" t="s">
        <v>103</v>
      </c>
    </row>
    <row r="6" spans="1:138" s="407" customFormat="1" ht="13.5" customHeight="1">
      <c r="A6" s="261" t="s">
        <v>104</v>
      </c>
      <c r="B6" s="507"/>
      <c r="C6" s="286"/>
      <c r="D6" s="287"/>
      <c r="E6" s="261"/>
      <c r="F6" s="436" t="s">
        <v>41</v>
      </c>
      <c r="G6" s="273"/>
      <c r="H6" s="512" t="s">
        <v>105</v>
      </c>
      <c r="I6" s="512" t="s">
        <v>105</v>
      </c>
      <c r="J6" s="517"/>
      <c r="K6" s="267" t="s">
        <v>106</v>
      </c>
      <c r="L6" s="263" t="s">
        <v>465</v>
      </c>
      <c r="M6" s="263" t="s">
        <v>48</v>
      </c>
      <c r="N6" s="263" t="s">
        <v>407</v>
      </c>
      <c r="O6" s="263" t="s">
        <v>408</v>
      </c>
      <c r="P6" s="263"/>
      <c r="Q6" s="263" t="s">
        <v>48</v>
      </c>
      <c r="R6" s="442"/>
      <c r="S6" s="263"/>
      <c r="T6" s="263"/>
      <c r="U6" s="265"/>
      <c r="V6" s="265" t="s">
        <v>109</v>
      </c>
      <c r="W6" s="261" t="s">
        <v>430</v>
      </c>
      <c r="X6" s="273" t="s">
        <v>110</v>
      </c>
      <c r="Y6" s="262" t="s">
        <v>111</v>
      </c>
      <c r="Z6" s="265" t="s">
        <v>62</v>
      </c>
      <c r="AA6" s="262" t="s">
        <v>112</v>
      </c>
      <c r="AB6" s="262" t="s">
        <v>113</v>
      </c>
      <c r="AC6" s="404"/>
      <c r="AD6" s="574" t="str">
        <f>"b(min):"&amp;TEXT(MinimaleDikteFilterlaag*100," 0")&amp;" cm"</f>
        <v>b(min): 3 cm</v>
      </c>
      <c r="AE6" s="265"/>
      <c r="AF6" s="265"/>
      <c r="AG6" s="515" t="s">
        <v>115</v>
      </c>
      <c r="AH6" s="266"/>
      <c r="AI6" s="493"/>
      <c r="AJ6" s="265"/>
      <c r="AK6" s="268"/>
      <c r="AL6" s="515" t="s">
        <v>115</v>
      </c>
      <c r="AM6" s="269"/>
      <c r="AN6" s="270"/>
      <c r="AO6" s="493"/>
      <c r="AP6" s="263" t="s">
        <v>498</v>
      </c>
      <c r="AQ6" s="263"/>
      <c r="AR6" s="263"/>
      <c r="AS6" s="442"/>
      <c r="AT6" s="263"/>
      <c r="AU6" s="432"/>
      <c r="AV6" s="275" t="s">
        <v>414</v>
      </c>
      <c r="AW6" s="442" t="s">
        <v>483</v>
      </c>
      <c r="AX6" s="263" t="s">
        <v>479</v>
      </c>
      <c r="AY6" s="263" t="s">
        <v>411</v>
      </c>
      <c r="AZ6" s="266" t="s">
        <v>118</v>
      </c>
      <c r="BA6" s="271" t="s">
        <v>1</v>
      </c>
      <c r="BB6" s="265" t="s">
        <v>119</v>
      </c>
      <c r="BC6" s="265" t="s">
        <v>120</v>
      </c>
      <c r="BD6" s="272"/>
      <c r="BE6" s="288" t="s">
        <v>121</v>
      </c>
      <c r="BF6" s="289" t="s">
        <v>122</v>
      </c>
      <c r="BG6" s="262" t="s">
        <v>74</v>
      </c>
      <c r="BH6" s="262" t="s">
        <v>75</v>
      </c>
      <c r="BI6" s="290" t="s">
        <v>123</v>
      </c>
      <c r="BJ6" s="277"/>
      <c r="BK6" s="461" t="s">
        <v>480</v>
      </c>
      <c r="BL6" s="436" t="s">
        <v>423</v>
      </c>
      <c r="BM6" s="461" t="s">
        <v>509</v>
      </c>
      <c r="BN6" s="576" t="s">
        <v>547</v>
      </c>
      <c r="BO6" s="531"/>
      <c r="BP6" s="291" t="s">
        <v>8</v>
      </c>
      <c r="BQ6" s="490" t="s">
        <v>124</v>
      </c>
      <c r="BR6" s="491"/>
      <c r="BS6" s="275" t="s">
        <v>76</v>
      </c>
      <c r="BT6" s="531" t="s">
        <v>473</v>
      </c>
      <c r="BU6" s="275" t="s">
        <v>125</v>
      </c>
      <c r="BV6" s="275" t="s">
        <v>76</v>
      </c>
      <c r="BW6" s="439" t="s">
        <v>126</v>
      </c>
      <c r="BX6" s="439"/>
      <c r="BY6" s="276"/>
      <c r="BZ6" s="450" t="s">
        <v>413</v>
      </c>
      <c r="CA6" s="455" t="s">
        <v>127</v>
      </c>
      <c r="CB6" s="456" t="s">
        <v>127</v>
      </c>
      <c r="CC6" s="580"/>
      <c r="CD6" s="277"/>
      <c r="CE6" s="536" t="s">
        <v>419</v>
      </c>
      <c r="CF6" s="274"/>
      <c r="CG6" s="261" t="s">
        <v>128</v>
      </c>
      <c r="CH6" s="278"/>
      <c r="CI6" s="279"/>
      <c r="CJ6" s="278"/>
      <c r="CK6" s="280"/>
      <c r="CL6" s="280" t="s">
        <v>48</v>
      </c>
      <c r="CM6" s="280" t="s">
        <v>407</v>
      </c>
      <c r="CN6" s="280" t="s">
        <v>48</v>
      </c>
      <c r="CO6" s="280"/>
      <c r="CP6" s="280"/>
      <c r="CQ6" s="282" t="s">
        <v>129</v>
      </c>
      <c r="CR6" s="292" t="s">
        <v>129</v>
      </c>
      <c r="CS6" s="282" t="s">
        <v>130</v>
      </c>
      <c r="CT6" s="282" t="s">
        <v>131</v>
      </c>
      <c r="CU6" s="282" t="s">
        <v>132</v>
      </c>
      <c r="CV6" s="282" t="s">
        <v>133</v>
      </c>
      <c r="CW6" s="282" t="s">
        <v>130</v>
      </c>
      <c r="CX6" s="282" t="s">
        <v>134</v>
      </c>
      <c r="CY6" s="282" t="s">
        <v>129</v>
      </c>
      <c r="CZ6" s="282" t="s">
        <v>135</v>
      </c>
      <c r="DA6" s="282" t="s">
        <v>130</v>
      </c>
      <c r="DB6" s="283" t="s">
        <v>84</v>
      </c>
      <c r="DC6" s="284"/>
      <c r="DD6" s="282" t="s">
        <v>135</v>
      </c>
      <c r="DE6" s="282" t="s">
        <v>130</v>
      </c>
      <c r="DF6" s="282" t="s">
        <v>130</v>
      </c>
      <c r="DG6" s="284" t="s">
        <v>130</v>
      </c>
      <c r="DH6" s="284" t="s">
        <v>130</v>
      </c>
      <c r="DI6" s="282" t="s">
        <v>130</v>
      </c>
      <c r="DJ6" s="283" t="s">
        <v>84</v>
      </c>
      <c r="DK6" s="293" t="s">
        <v>119</v>
      </c>
      <c r="DL6" s="281" t="s">
        <v>65</v>
      </c>
      <c r="DM6" s="281" t="s">
        <v>65</v>
      </c>
      <c r="DN6" s="281" t="s">
        <v>62</v>
      </c>
      <c r="DO6" s="281" t="s">
        <v>63</v>
      </c>
      <c r="DP6" s="280" t="s">
        <v>136</v>
      </c>
      <c r="DQ6" s="280" t="s">
        <v>478</v>
      </c>
      <c r="DR6" s="484" t="s">
        <v>9</v>
      </c>
      <c r="DS6" s="250" t="s">
        <v>438</v>
      </c>
      <c r="DT6" s="250" t="s">
        <v>439</v>
      </c>
      <c r="DU6" s="250"/>
      <c r="DV6" s="250"/>
      <c r="DW6" s="250"/>
      <c r="DX6" s="250"/>
      <c r="DY6" s="250"/>
      <c r="DZ6" s="250"/>
      <c r="EA6" s="250" t="s">
        <v>137</v>
      </c>
      <c r="EB6" s="250"/>
      <c r="EC6" s="285" t="s">
        <v>138</v>
      </c>
      <c r="ED6" s="285" t="s">
        <v>138</v>
      </c>
      <c r="EE6" s="285" t="s">
        <v>138</v>
      </c>
      <c r="EF6" s="285" t="s">
        <v>138</v>
      </c>
      <c r="EG6" s="564" t="s">
        <v>96</v>
      </c>
      <c r="EH6" s="406"/>
    </row>
    <row r="7" spans="1:138" s="407" customFormat="1" ht="13.5" customHeight="1" thickBot="1">
      <c r="A7" s="408"/>
      <c r="B7" s="508"/>
      <c r="C7" s="294" t="s">
        <v>139</v>
      </c>
      <c r="D7" s="294" t="s">
        <v>140</v>
      </c>
      <c r="E7" s="408"/>
      <c r="F7" s="462"/>
      <c r="G7" s="410" t="s">
        <v>141</v>
      </c>
      <c r="H7" s="513" t="s">
        <v>142</v>
      </c>
      <c r="I7" s="513" t="s">
        <v>142</v>
      </c>
      <c r="J7" s="518"/>
      <c r="K7" s="411" t="s">
        <v>143</v>
      </c>
      <c r="L7" s="296" t="s">
        <v>466</v>
      </c>
      <c r="M7" s="296" t="s">
        <v>467</v>
      </c>
      <c r="N7" s="296" t="s">
        <v>142</v>
      </c>
      <c r="O7" s="296" t="s">
        <v>129</v>
      </c>
      <c r="P7" s="296" t="s">
        <v>529</v>
      </c>
      <c r="Q7" s="296" t="s">
        <v>468</v>
      </c>
      <c r="R7" s="521" t="s">
        <v>129</v>
      </c>
      <c r="S7" s="296" t="s">
        <v>129</v>
      </c>
      <c r="T7" s="296" t="s">
        <v>129</v>
      </c>
      <c r="U7" s="295" t="s">
        <v>130</v>
      </c>
      <c r="V7" s="295" t="s">
        <v>131</v>
      </c>
      <c r="W7" s="408" t="s">
        <v>130</v>
      </c>
      <c r="X7" s="410" t="s">
        <v>132</v>
      </c>
      <c r="Y7" s="409" t="s">
        <v>134</v>
      </c>
      <c r="Z7" s="295" t="s">
        <v>130</v>
      </c>
      <c r="AA7" s="409" t="s">
        <v>133</v>
      </c>
      <c r="AB7" s="409" t="s">
        <v>145</v>
      </c>
      <c r="AC7" s="413" t="s">
        <v>134</v>
      </c>
      <c r="AD7" s="296" t="s">
        <v>129</v>
      </c>
      <c r="AE7" s="295" t="s">
        <v>130</v>
      </c>
      <c r="AF7" s="295" t="s">
        <v>130</v>
      </c>
      <c r="AG7" s="294" t="s">
        <v>133</v>
      </c>
      <c r="AH7" s="414" t="s">
        <v>145</v>
      </c>
      <c r="AI7" s="525" t="s">
        <v>129</v>
      </c>
      <c r="AJ7" s="295" t="s">
        <v>130</v>
      </c>
      <c r="AK7" s="295" t="s">
        <v>130</v>
      </c>
      <c r="AL7" s="294" t="s">
        <v>133</v>
      </c>
      <c r="AM7" s="415" t="s">
        <v>130</v>
      </c>
      <c r="AN7" s="412" t="s">
        <v>462</v>
      </c>
      <c r="AO7" s="525" t="s">
        <v>129</v>
      </c>
      <c r="AP7" s="296" t="s">
        <v>497</v>
      </c>
      <c r="AQ7" s="296" t="s">
        <v>130</v>
      </c>
      <c r="AR7" s="296" t="s">
        <v>130</v>
      </c>
      <c r="AS7" s="521" t="s">
        <v>130</v>
      </c>
      <c r="AT7" s="296" t="s">
        <v>130</v>
      </c>
      <c r="AU7" s="433" t="s">
        <v>130</v>
      </c>
      <c r="AV7" s="182" t="s">
        <v>415</v>
      </c>
      <c r="AW7" s="443" t="s">
        <v>470</v>
      </c>
      <c r="AX7" s="294" t="s">
        <v>470</v>
      </c>
      <c r="AY7" s="294" t="s">
        <v>412</v>
      </c>
      <c r="AZ7" s="414" t="s">
        <v>145</v>
      </c>
      <c r="BA7" s="417" t="s">
        <v>1</v>
      </c>
      <c r="BB7" s="418" t="s">
        <v>146</v>
      </c>
      <c r="BC7" s="419" t="s">
        <v>147</v>
      </c>
      <c r="BD7" s="420" t="s">
        <v>148</v>
      </c>
      <c r="BE7" s="420" t="s">
        <v>148</v>
      </c>
      <c r="BF7" s="420" t="s">
        <v>148</v>
      </c>
      <c r="BG7" s="409" t="s">
        <v>129</v>
      </c>
      <c r="BH7" s="409" t="s">
        <v>149</v>
      </c>
      <c r="BI7" s="410" t="s">
        <v>150</v>
      </c>
      <c r="BJ7" s="298"/>
      <c r="BK7" s="473"/>
      <c r="BL7" s="462" t="s">
        <v>424</v>
      </c>
      <c r="BM7" s="297" t="s">
        <v>133</v>
      </c>
      <c r="BN7" s="578" t="str">
        <f>"water: "&amp;TEXT(Water_SoortelijkeMassa,"0")&amp;" kg/m3"</f>
        <v>water: 1025 kg/m3</v>
      </c>
      <c r="BO7" s="532" t="s">
        <v>133</v>
      </c>
      <c r="BP7" s="416"/>
      <c r="BQ7" s="492" t="s">
        <v>151</v>
      </c>
      <c r="BR7" s="492" t="s">
        <v>152</v>
      </c>
      <c r="BS7" s="416"/>
      <c r="BT7" s="573" t="s">
        <v>474</v>
      </c>
      <c r="BU7" s="182" t="s">
        <v>153</v>
      </c>
      <c r="BV7" s="182"/>
      <c r="BW7" s="440" t="s">
        <v>151</v>
      </c>
      <c r="BX7" s="440" t="s">
        <v>152</v>
      </c>
      <c r="BY7" s="472"/>
      <c r="BZ7" s="451" t="s">
        <v>414</v>
      </c>
      <c r="CA7" s="457" t="s">
        <v>146</v>
      </c>
      <c r="CB7" s="458" t="s">
        <v>146</v>
      </c>
      <c r="CC7" s="579" t="str">
        <f>"telt mee?: "&amp;ReststerkteMeetellenJN</f>
        <v>telt mee?: ja</v>
      </c>
      <c r="CD7" s="298"/>
      <c r="CE7" s="537" t="s">
        <v>420</v>
      </c>
      <c r="CF7" s="297" t="s">
        <v>154</v>
      </c>
      <c r="CG7" s="416"/>
      <c r="CH7" s="299"/>
      <c r="CI7" s="421"/>
      <c r="CJ7" s="299"/>
      <c r="CK7" s="422"/>
      <c r="CL7" s="422" t="s">
        <v>467</v>
      </c>
      <c r="CM7" s="422" t="s">
        <v>142</v>
      </c>
      <c r="CN7" s="422" t="s">
        <v>468</v>
      </c>
      <c r="CO7" s="422"/>
      <c r="CP7" s="422"/>
      <c r="CQ7" s="423"/>
      <c r="CR7" s="424"/>
      <c r="CS7" s="423"/>
      <c r="CT7" s="423"/>
      <c r="CU7" s="423"/>
      <c r="CV7" s="423"/>
      <c r="CW7" s="423"/>
      <c r="CX7" s="423"/>
      <c r="CY7" s="423"/>
      <c r="CZ7" s="423"/>
      <c r="DA7" s="423"/>
      <c r="DB7" s="425"/>
      <c r="DC7" s="426"/>
      <c r="DD7" s="423"/>
      <c r="DE7" s="423"/>
      <c r="DF7" s="423"/>
      <c r="DG7" s="426"/>
      <c r="DH7" s="426"/>
      <c r="DI7" s="423"/>
      <c r="DJ7" s="425"/>
      <c r="DK7" s="427" t="s">
        <v>146</v>
      </c>
      <c r="DL7" s="423" t="s">
        <v>130</v>
      </c>
      <c r="DM7" s="423" t="s">
        <v>130</v>
      </c>
      <c r="DN7" s="423" t="s">
        <v>130</v>
      </c>
      <c r="DO7" s="423" t="s">
        <v>130</v>
      </c>
      <c r="DP7" s="422"/>
      <c r="DQ7" s="422"/>
      <c r="DR7" s="485"/>
      <c r="DS7" s="398"/>
      <c r="DT7" s="398" t="s">
        <v>438</v>
      </c>
      <c r="DU7" s="398"/>
      <c r="DV7" s="398"/>
      <c r="DW7" s="398" t="s">
        <v>155</v>
      </c>
      <c r="DX7" s="398" t="s">
        <v>155</v>
      </c>
      <c r="DY7" s="398"/>
      <c r="DZ7" s="398"/>
      <c r="EA7" s="398"/>
      <c r="EB7" s="398"/>
      <c r="EC7" s="428" t="s">
        <v>156</v>
      </c>
      <c r="ED7" s="428" t="s">
        <v>157</v>
      </c>
      <c r="EE7" s="428" t="s">
        <v>158</v>
      </c>
      <c r="EF7" s="428" t="s">
        <v>159</v>
      </c>
      <c r="EG7" s="565" t="s">
        <v>160</v>
      </c>
      <c r="EH7" s="405"/>
    </row>
    <row r="8" spans="1:137" s="379" customFormat="1" ht="12.75" customHeight="1">
      <c r="A8" s="503" t="s">
        <v>530</v>
      </c>
      <c r="B8" s="347" t="s">
        <v>531</v>
      </c>
      <c r="C8" s="348">
        <v>2.4</v>
      </c>
      <c r="D8" s="349">
        <v>2.8</v>
      </c>
      <c r="E8" s="350">
        <v>1966</v>
      </c>
      <c r="F8" s="500"/>
      <c r="G8" s="509"/>
      <c r="H8" s="351">
        <v>2</v>
      </c>
      <c r="I8" s="351">
        <v>5</v>
      </c>
      <c r="J8" s="349">
        <v>11.1</v>
      </c>
      <c r="K8" s="352" t="s">
        <v>280</v>
      </c>
      <c r="L8" s="351">
        <v>0.25</v>
      </c>
      <c r="M8" s="351">
        <v>0.3</v>
      </c>
      <c r="N8" s="351">
        <v>5</v>
      </c>
      <c r="O8" s="351">
        <v>7</v>
      </c>
      <c r="P8" s="353">
        <v>0.1</v>
      </c>
      <c r="Q8" s="354">
        <v>0.35</v>
      </c>
      <c r="R8" s="355">
        <v>0.25</v>
      </c>
      <c r="S8" s="351">
        <v>0.5</v>
      </c>
      <c r="T8" s="351">
        <v>0.5</v>
      </c>
      <c r="U8" s="356">
        <v>1</v>
      </c>
      <c r="V8" s="356"/>
      <c r="W8" s="470"/>
      <c r="X8" s="357">
        <v>2340</v>
      </c>
      <c r="Y8" s="524" t="s">
        <v>112</v>
      </c>
      <c r="Z8" s="356"/>
      <c r="AA8" s="349"/>
      <c r="AB8" s="358" t="s">
        <v>532</v>
      </c>
      <c r="AC8" s="359" t="s">
        <v>112</v>
      </c>
      <c r="AD8" s="360"/>
      <c r="AE8" s="356"/>
      <c r="AF8" s="356"/>
      <c r="AG8" s="349"/>
      <c r="AH8" s="358"/>
      <c r="AI8" s="355"/>
      <c r="AJ8" s="356"/>
      <c r="AK8" s="356"/>
      <c r="AL8" s="349"/>
      <c r="AM8" s="361"/>
      <c r="AN8" s="469" t="s">
        <v>280</v>
      </c>
      <c r="AO8" s="362">
        <v>0.8</v>
      </c>
      <c r="AP8" s="468" t="s">
        <v>533</v>
      </c>
      <c r="AQ8" s="351"/>
      <c r="AR8" s="351"/>
      <c r="AS8" s="355"/>
      <c r="AT8" s="351"/>
      <c r="AU8" s="431"/>
      <c r="AV8" s="468" t="s">
        <v>534</v>
      </c>
      <c r="AW8" s="478" t="s">
        <v>532</v>
      </c>
      <c r="AX8" s="486" t="s">
        <v>532</v>
      </c>
      <c r="AY8" s="351"/>
      <c r="AZ8" s="351" t="s">
        <v>112</v>
      </c>
      <c r="BA8" s="363"/>
      <c r="BB8" s="356">
        <v>12</v>
      </c>
      <c r="BC8" s="364">
        <v>1</v>
      </c>
      <c r="BD8" s="365">
        <f>Water_GHW_Bepaal(SubVakgrenzen_Van,SubVakgrenzen_Tot,IF(SubVakgrenzen_Van="",-1,0),IF(SubVakgrenzen_Tot="",-1,0))</f>
        <v>2</v>
      </c>
      <c r="BE8" s="365">
        <f>Water_Toetspeil2000_Bepaal(SubVakgrenzen_Van,SubVakgrenzen_Tot)</f>
        <v>5</v>
      </c>
      <c r="BF8" s="365">
        <f>MaatgevendeWaterStand_Bereken(SubVakgrenzen_Van,SubVakgrenzen_Tot,Water_TabelIndex,Onder_Berm_Boven,Bekleding_Hellingtalud_Invoer,Bekleding_Berm_OnderTalud,Bekleding_HellingBovenTalud,Bekleding_Berm_NiveauVoorrand,h_laag,h_hoog,Water_Toetspeil2000,Bekleding_Bermbreedte,Bekleding_Toplaag_D)</f>
        <v>5</v>
      </c>
      <c r="BG8" s="365">
        <f>Water_Hs_Bereken(SubVakgrenzen_Van,SubVakgrenzen_Tot,Water_TabelIndex,Water_MaatgevendeWaterstand,Water_Beta)</f>
        <v>0.699999988079071</v>
      </c>
      <c r="BH8" s="365">
        <f>Water_Tp_Bereken(SubVakgrenzen_Van,SubVakgrenzen_Tot,Water_TabelIndex,Water_MaatgevendeWaterstand,Water_Beta)</f>
        <v>3</v>
      </c>
      <c r="BI8" s="528">
        <f>IF(isLeeg(DijkorientatieTovN),0,Water_Beta_Bereken(SubVakgrenzen_Van,SubVakgrenzen_Tot,Water_TabelIndex,DijkorientatieTovN))</f>
        <v>0</v>
      </c>
      <c r="BJ8" s="435" t="str">
        <f>Afschuiving_Score_Bepaal(Bekleding_Toplaag_Delta,Bekleding_Toplaag_D,Bekleding_BovensteFilterlaag_b,Bekleding_Ondergrond_D15,Bekleding_TweedeFilterlaag_b,Bekleding_Klei_b,Bekleding_Hellingtalud_Invoer,Water_Hs,Water_Tp,h_laag,Water_Toetspeil2000,Onder_Berm_Boven,Klei_Dijkopbouw)</f>
        <v>Goed</v>
      </c>
      <c r="BK8" s="435" t="str">
        <f>MatTransp_Score_Bepaal(MatTransp_Ervaring,MatTransp_Geotextiel_O90/1000,Bekleding_Type_Filters,MatTransp_Filterlaag_D50/1000,Mattransp_Filterlaag_D15/1000,Bekleding_Klei_D50/1000,Bekleding_Klei_D90/1000,Bekleding_Ondergrond_D15/1000,Bekleding_Ondergrond_D50/1000,Bekleding_Ondergrond_D90/1000,h_laag,Water_Toetspeil2000,Water_Hs,StabToplaag_ToetsE_type,Bekleding_Klei_Kwaliteit)</f>
        <v>Geavanceerd</v>
      </c>
      <c r="BL8" s="476" t="str">
        <f>MatTransp_UitFilter_Score_Bepaal(Bekleding_Type_Toplaag,Bekleding_Toplaag_Spleetbreedte,h_laag,Water_MaatgevendeWaterstand,MatTransp_UitFilter_Ervaring,Bekleding_BovensteFilterlaag_D50,Water_Hs,Bekleding_Toplaag_OpenOpp_Relatief_Invoer,Bekleding_Toplaag_B_Invoer,Bekleding_Toplaag_L_Invoer,Bekleding_Toplaag_D,Bekleding_Type_Filters,Bekleding_Toplaag_Karakt_Opening)</f>
        <v>n.v.t.</v>
      </c>
      <c r="BM8" s="435">
        <f>InvloedsfactorBerm2</f>
        <v>1</v>
      </c>
      <c r="BN8" s="367">
        <f>StabToplaag_ToetsE_HSDD_verh_Bepaal(InvloedsfactorBerm2,Water_Hs,Bekleding_Toplaag_Delta,RekenDikte)</f>
        <v>2.182509422302246</v>
      </c>
      <c r="BO8" s="367">
        <f>Water_XsiOp_Bereken(FictieveTaludHelling,Water_Hs,Water_Tp)</f>
        <v>1.1196300983428955</v>
      </c>
      <c r="BP8" s="369" t="str">
        <f>StabToplaag_ToetsE_Type_Bepaal(Bekleding_Type_Toplaag,Bekleding_Type_Filters,RekenDikte,Bekleding_Toplaag_OpenOpp_Relatief/100,Bekleding_BovensteFilterlaag_D15/1000,Bekleding_BovensteFilterlaag_b,JN(Bekleding_Toplaag_InwasJN),JN(Bekleding_Toplaag_AsfaltJN),JN(Bekleding_Toplaag_SlibJN),JNO(Bekleding_BovensteFilterlaag_SlibJNO),Water_Stormduur,isLeeg(Bekleding_Type_Toplaag),isLeeg(Bekleding_Type_Filters_Invoer),Bekleding_AfstandHouders_Ervaring)</f>
        <v>2</v>
      </c>
      <c r="BQ8" s="373">
        <f>StabToplaag_ToetsE_gt_verh_Bepaal(StabToplaag_ToetsE_type,HsDeltaD_verh,Water_XsiOp,Bekleding_Toplaag_Delta,JN(Bekleding_Toplaag_AsfaltJN),h_hoog,h_laag,FictieveTaludHelling,RekenDikte,JN(Bekleding_Toplaag_SlibJN))</f>
        <v>1.5344456434249878</v>
      </c>
      <c r="BR8" s="373">
        <f>StabToplaag_ToetsE_to_verh_Bepaal(StabToplaag_ToetsE_type,HsDeltaD_verh,Water_XsiOp,h_hoog,h_laag,FictieveTaludHelling,JN(Bekleding_Toplaag_SlibJN),JNO(Bekleding_BovensteFilterlaag_SlibJNO),JN(Bekleding_Toplaag_AsfaltJN),RekenDikte)</f>
        <v>2.5678391456604004</v>
      </c>
      <c r="BS8" s="477" t="str">
        <f>StabToplaag_ToetsE_Score_Bepaal(StabToplaag_ToetsE_gt_verh,StabToplaag_ToetsE_to_verh,StabToplaag_ToetsE_type,JN(Bekleding_Toplaag_SlibJN),JNO(Bekleding_BovensteFilterlaag_SlibJNO),JN(Bekleding_Toplaag_AsfaltJN),Water_Hs,Water_Tp,FictieveTaludHelling,h_laag,h_hoog,Water_MaatgevendeWaterstand,Onder_Berm_Boven,Cw_Onvoldoende)</f>
        <v>Goed</v>
      </c>
      <c r="BT8" s="529">
        <f>HsDeltaD_verh*Water_XsiOp^(2/3)</f>
        <v>2.3532740395820864</v>
      </c>
      <c r="BU8" s="367" t="str">
        <f>IF(ISERROR(StabToplaag_ToetsG_BelastingEnSterkte_Verh_1),"Niet uitgevoerd",StabToplaag_ToetsG_Resultaat_Bepaal(StabToplaag_ToetsG_BelastingEnSterkte_Verh_1,StabToplaag_ToetsG_BelastingEnSterkte_Verh_2,StabToplaag_ToetsG_BelastingEnSterkte_Verh_3,StabToplaag_ToetsG_BelastingEnSterkte_Verh_4,Bekleding_Type_Toplaag,Bekleding_Type_Filters,Bekleding_BovensteFilterlaag_b,JN(Bekleding_AlsBermJN),JN(Bekleding_Toplaag_AsfaltJN),Bekleding_AfstandHouders_Ervaring,StabToplaag_ToetsG_Klemfactor_GoedTwijfel))</f>
        <v>Niet toepasbaar</v>
      </c>
      <c r="BV8" s="367" t="str">
        <f>IF(ISERROR(StabToplaag_ToetsG_BelastingEnSterkte_Verh_1),"Niet uitgevoerd",StabToplaag_ToetsG_Score_Bepaal(StabToplaag_ToetsG_BelastingEnSterkte_Verh_1,StabToplaag_ToetsG_BelastingEnSterkte_Verh_2,StabToplaag_ToetsG_BelastingEnSterkte_Verh_3,StabToplaag_ToetsG_BelastingEnSterkte_Verh_4,Bekleding_Type_Toplaag,Bekleding_Type_Filters,Bekleding_BovensteFilterlaag_b,JN(Bekleding_AlsBermJN),HsDeltaD_verh,Water_XsiOp,JN(Bekleding_Toplaag_AsfaltJN),Bekleding_AfstandHouders_Ervaring,StabToplaag_ToetsG_Klemfactor_GoedTwijfel,Cw_Onvoldoende))</f>
        <v>Niet toepasbaar</v>
      </c>
      <c r="BW8" s="438">
        <f>IF(ISERROR(StabToplaag_ToetsG_BelastingEnSterkte_Verh_1)," n.v.t.",iif((StabToplaag_ToetG_F&gt;6),"? (F&gt;6)",StabToplaag_ToetsG_Klemfactor_GoedTwijfel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1</v>
      </c>
      <c r="BX8" s="438">
        <f>IF(ISERROR(StabToplaag_ToetsG_BelastingEnSterkte_Verh_1)," n.v.t.",iif(+(StabToplaag_ToetG_F&gt;6),"? (F&gt;6)",StabToplaag_ToetsG_Klemfactor_TwijfelOnvoldoende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1</v>
      </c>
      <c r="BY8" s="367" t="str">
        <f>StabToplaag_Score_Bepaal(StabToplaag_ToetsE_score,StabToplaag_ToetsG_Score,HsDeltaD_verh,Water_XsiOp,h_laag,Water_Toetspeil2000)</f>
        <v>Goed</v>
      </c>
      <c r="BZ8" s="435" t="str">
        <f>iif(AND(Bekleding_BovensteOvergangsconstructie&lt;&gt;"",OR(Bekleding_BovensteOvergangsconstructie="a",Bekleding_BovensteOvergangsconstructie="b",Bekleding_BovensteOvergangsconstructie="b1",Bekleding_BovensteOvergangsconstructie="b2",Bekleding_BovensteOvergangsconstructie="b3",Bekleding_BovensteOvergangsconstructie="b4")),"Goed","Geavanceerd")</f>
        <v>Geavanceerd</v>
      </c>
      <c r="CA8" s="487">
        <f>Reststerkte_Filterlaag_Bepaal(Water_Hs,Water_Tp,Water_Beta,HsDeltaD_verh,Water_XsiOp,Bekleding_BovensteFilterlaag_b,Bekleding_TweedeFilterlaag_b)</f>
        <v>0</v>
      </c>
      <c r="CB8" s="366">
        <f>Reststerkte_Kleilaag_Bepaal(h_hoog,Bekleding_Klei_b,Water_GHW,Water_Hs,Bekleding_Klei_Kwaliteit,Klei_Dijkopbouw)</f>
        <v>2.799999952316284</v>
      </c>
      <c r="CC8" s="367" t="str">
        <f>Reststerkte_Score_Bepaal(Bekleding_Klei_b,Water_Stormduur,Reststerkte_Filterlaag,Reststerkte_Kleilaag)</f>
        <v>Geavanceerd</v>
      </c>
      <c r="CD8" s="368" t="str">
        <f>IF(ISERR(Afschuiving_Score)+ISERR(MatTransp_Score)+ISERR(StabToplaag_Score)+ISERR(Reststerkte_Score)=0,Eindscore_Bepaal(JNO(Bekleding_RuimteToplaagFilterJNO),Afschuiving_Score,MatTransp_Score,StabToplaag_Score,Reststerkte_Score,MatTransp_UitFilter_Score,Bovenste_OvergangsConstructie_Score,h_laag,Golfoploop,Water_MaatgevendeWaterstand),"FOUT")</f>
        <v>GEAVANCEERD</v>
      </c>
      <c r="CE8" s="534">
        <f>iif(h_laag&gt;=Water_MaatgevendeWaterstand,"n.v.t.",SQRT(2.3*9.8*Bekleding_Toplaag_Delta*Bekleding_Toplaag_D))</f>
        <v>2.6887343688024554</v>
      </c>
      <c r="CF8" s="370"/>
      <c r="CG8" s="367">
        <f>VerschilTussenBeheersOordeelEnSteenToets(Eindscore,Beheerdersoordeel)</f>
      </c>
      <c r="CH8" s="431"/>
      <c r="CI8" s="441" t="str">
        <f>EindOordeel(Eindscore,Beheerdersoordeel)</f>
        <v>GEAVANCEERD</v>
      </c>
      <c r="CJ8" s="371"/>
      <c r="CK8" s="372" t="str">
        <f>IF(Bekleding_Hellingtalud_Invoer&lt;1/9,"Ja","Nee")</f>
        <v>Nee</v>
      </c>
      <c r="CL8" s="365">
        <f>iif(Bekleding_HellingOnderTalud_Invoer="",Bekleding_Hellingtalud_Invoer,Bekleding_HellingOnderTalud_Invoer)</f>
        <v>0.3</v>
      </c>
      <c r="CM8" s="365">
        <f>IF(Bekleding_Berm_NiveauVoorrand_invoer="",10,Bekleding_Berm_NiveauVoorrand_invoer)</f>
        <v>5</v>
      </c>
      <c r="CN8" s="365">
        <f>iif(Bekleding_HellingBovenTalud_Invoer="",Bekleding_Hellingtalud_Invoer,Bekleding_HellingBovenTalud_Invoer)</f>
        <v>0.35</v>
      </c>
      <c r="CO8" s="365">
        <f>Bekleding_CheckType(Bekleding_Type_Toplaag)</f>
        <v>0</v>
      </c>
      <c r="CP8" s="373" t="str">
        <f>IF(isLeeg(Bekleding_Type_Filters_Invoer)&lt;&gt;0,"st",Bekleding_Type_Filters_Invoer)</f>
        <v>kl</v>
      </c>
      <c r="CQ8" s="365">
        <f>IF(Bekleding_Toplaag_B_Invoer=0,IF(AND(26&lt;=Bekleding_Type_Toplaag,Bekleding_Type_Toplaag&lt;29),0.3,0),Bekleding_Toplaag_B_Invoer)</f>
        <v>0.5</v>
      </c>
      <c r="CR8" s="365">
        <f>IF(Bekleding_Toplaag_L_Invoer=0,IF(AND(26&lt;=Bekleding_Type_Toplaag,Bekleding_Type_Toplaag&lt;29),0.3,0),Bekleding_Toplaag_L_Invoer)</f>
        <v>0.5</v>
      </c>
      <c r="CS8" s="365">
        <f>IF(Bekleding_Toplaag_Spleetbreedte_Invoer=0,1000*Bekleding_Toplaag_Spleetbreedte_Bereken(Bekleding_Toplaag_B,Bekleding_Toplaag_L,Bekleding_Toplaag_OpenOpp_Relatief_Invoer/100),Bekleding_Toplaag_Spleetbreedte_Invoer)</f>
        <v>1</v>
      </c>
      <c r="CT8" s="365">
        <f>IF(Bekleding_Toplaag_OpenOpp_Relatief_Invoer=0,100*Bekleding_Toplaag_OpenOpp_Relatief_Bereken(Bekleding_Toplaag_B,Bekleding_Toplaag_L,Bekleding_Toplaag_Spleetbreedte_Invoer/1000),Bekleding_Toplaag_OpenOpp_Relatief_Invoer)</f>
        <v>0.3988032229244709</v>
      </c>
      <c r="CU8" s="365">
        <f>IF(isLeeg(Bekleding_Toplaag_SMassa_Invoer)&lt;&gt;0,HaalUitSheetAlgemeen(Bekleding_Type_Toplaag,"SMassa","Soortelijke massa"),Bekleding_Toplaag_SMassa_Invoer)</f>
        <v>2340</v>
      </c>
      <c r="CV8" s="365">
        <f>Bekleding_Toplaag_Delta_Bereken(Bekleding_Toplaag_SMassa)</f>
        <v>1.2829267978668213</v>
      </c>
      <c r="CW8" s="365">
        <f>IF(Bekleding_GeoTextiel1_O90_Invoer=0,10000,Bekleding_GeoTextiel1_O90_Invoer)</f>
        <v>10000</v>
      </c>
      <c r="CX8" s="372" t="str">
        <f>AsfaltJN(Bekleding_Type_Toplaag)</f>
        <v>Nee</v>
      </c>
      <c r="CY8" s="374">
        <f>IF(AND(0&lt;Bekleding_BovensteFilterlaag_b_Invoer,Bekleding_BovensteFilterlaag_b_Invoer&lt;MinimaleDikteFilterlaag),MinimaleDikteFilterlaag,Bekleding_BovensteFilterlaag_b_Invoer)</f>
        <v>0</v>
      </c>
      <c r="CZ8" s="365">
        <f>IF(Bekleding_BovensteFilterlaag_Porositeit_Invoer=0,Porositeit_Bepaal(Bekleding_Type_Filters_Invoer,1),Bekleding_BovensteFilterlaag_Porositeit_Invoer)</f>
        <v>0.4000000059604645</v>
      </c>
      <c r="DA8" s="365">
        <f>IF(Bekleding_BovensteFilterlaag_D50_Invoer=0,1.2*Bekleding_BovensteFilterlaag_D15,Bekleding_BovensteFilterlaag_D50_Invoer)</f>
        <v>0</v>
      </c>
      <c r="DB8" s="373" t="str">
        <f>IF(Bekleding_TweedeFilterlaag_b_Invoer=0,"nee","ja")</f>
        <v>nee</v>
      </c>
      <c r="DC8" s="374">
        <f>IF(AND(0&lt;Bekleding_TweedeFilterlaag_b_Invoer,Bekleding_TweedeFilterlaag_b_Invoer&lt;MinimaleDikteFilterlaag),MinimaleDikteFilterlaag,Bekleding_TweedeFilterlaag_b_Invoer)</f>
        <v>0</v>
      </c>
      <c r="DD8" s="365">
        <f>IF(Bekleding_TweedeFilterlaag_Porositeit_Invoer=0,Porositeit_Bepaal(Bekleding_Type_Filters_Invoer,2),Bekleding_TweedeFilterlaag_Porositeit_Invoer)</f>
        <v>0.4000000059604645</v>
      </c>
      <c r="DE8" s="365">
        <f>IF(Bekleding_TweedeFilterlaag_D50_Invoer=0,1.2*Bekleding_TweedeFilterlaag_D15,Bekleding_TweedeFilterlaag_D50_Invoer)</f>
        <v>0</v>
      </c>
      <c r="DF8" s="365">
        <f>IF(Bekleding_Ondergrond_D90_Invoer=0,Bekleding_Ondergrond_D50*1.2,Bekleding_Ondergrond_D90_Invoer)</f>
        <v>0.156</v>
      </c>
      <c r="DG8" s="365">
        <f>IF(Bekleding_Ondergrond_D50_Invoer=0,0.13,Bekleding_Ondergrond_D50_Invoer)</f>
        <v>0.13</v>
      </c>
      <c r="DH8" s="365">
        <f>IF(Bekleding_Ondergrond_D15_Invoer=0,Bekleding_Ondergrond_D50/1.4,Bekleding_Ondergrond_D15_Invoer)</f>
        <v>0.09285714285714286</v>
      </c>
      <c r="DI8" s="365">
        <f>IF(Bekleding_Geotextiel2_O90_Invoer=0,10000,Bekleding_Geotextiel2_O90_Invoer)</f>
        <v>10000</v>
      </c>
      <c r="DJ8" s="372" t="str">
        <f>IF(Bekleding_Geotextiel2_O90=10000,"nee","ja")</f>
        <v>nee</v>
      </c>
      <c r="DK8" s="365">
        <f>IF(Water_Stormduur_Invoer=0,48,Water_Stormduur_Invoer)</f>
        <v>12</v>
      </c>
      <c r="DL8" s="375"/>
      <c r="DM8" s="365">
        <f>IF(JN(Bekleding_Geotextiel2_Aanwezig),Bekleding_Geotextiel2_O90,Bekleding_GeoTextiel1_O90)</f>
        <v>10000</v>
      </c>
      <c r="DN8" s="365">
        <f>IF(JN(Bekleding_TweedeFilterlaag_Aanwezig),Bekleding_TweedeFilterlaag_D15,Bekleding_BovensteFilterlaag_D15)</f>
        <v>0</v>
      </c>
      <c r="DO8" s="365">
        <f>IF(JN(Bekleding_TweedeFilterlaag_Aanwezig),Bekleding_TweedeFilterlaag_D50,Bekleding_BovensteFilterlaag_D50)</f>
        <v>0</v>
      </c>
      <c r="DP8" s="369">
        <f>InvloedsfactorBerm_Bereken(Onder_Berm_Boven,Water_Hs,Water_MaatgevendeWaterstand,Bekleding_Berm_NiveauVoorrand,Water_Tp,Bekleding_Berm_OnderTalud,Bekleding_Bermbreedte)</f>
        <v>1</v>
      </c>
      <c r="DQ8" s="376">
        <f>InvloedsFactorBerm2_Bereken(h_laag,Water_MaatgevendeWaterstand,Bekleding_Toplaag_D,Onder_Berm_Boven,Bekleding_Bermbreedte,Bekleding_Berm_NiveauVoorrand,BermHelling,Water_Hs,InvloedsfactorBerm,Fictieve_Onder_Berm_Boven)</f>
        <v>1</v>
      </c>
      <c r="DR8" s="481">
        <f>FictieveTaludHelling_Bereken(Onder_Berm_Boven,Bekleding_Berm_OnderTalud,Bekleding_HellingBovenTalud,Bekleding_Hellingtalud_Invoer,Water_Hs,h_laag,h_hoog,Water_MaatgevendeWaterstand,Bekleding_Berm_NiveauVoorrand)</f>
        <v>0.25</v>
      </c>
      <c r="DS8" s="376" t="str">
        <f>Onder_Berm_Boven_Bereken(BermHelling,h_laag,h_hoog,Bekleding_Berm_NiveauVoorrand,Bekleding_Hellingtalud_Invoer,Bekleding_Berm_OnderTalud,Bekleding_HellingBovenTalud,Bekleding_Bermbreedte,ROW())</f>
        <v>Onderbeloop</v>
      </c>
      <c r="DT8" s="365" t="str">
        <f>Fictieve_Onder_Berm_Boven_Bereken(SubVakgrenzen_Van,SubVakgrenzen_Tot,Water_TabelIndex,Onder_Berm_Boven,Bekleding_Hellingtalud_Invoer,Bekleding_Berm_OnderTalud,Bekleding_HellingBovenTalud,Bekleding_Berm_NiveauVoorrand,h_laag,h_hoog,Water_Toetspeil2000,Bekleding_Bermbreedte,Bekleding_Toplaag_D)</f>
        <v>Onderbeloop</v>
      </c>
      <c r="DU8" s="376">
        <f>RekenDikte_Bereken(h_laag,Water_MaatgevendeWaterstand,Bekleding_Toplaag_D,Onder_Berm_Boven,Bekleding_Bermbreedte,Bekleding_Berm_NiveauVoorrand,BermHelling,Water_Hs,InvloedsfactorBerm,Fictieve_Onder_Berm_Boven)</f>
        <v>0.25</v>
      </c>
      <c r="DV8" s="376">
        <f>Cw_Onvoldoende_Bereken(h_laag,Water_MaatgevendeWaterstand,Bekleding_Toplaag_D,Onder_Berm_Boven,Bekleding_Bermbreedte,Bekleding_Berm_NiveauVoorrand,BermHelling,Water_Hs,InvloedsfactorBerm,Fictieve_Onder_Berm_Boven)</f>
        <v>1</v>
      </c>
      <c r="DW8" s="376">
        <f>Golfoploop_Bereken(Water_MaatgevendeWaterstand,Bekleding_Berm_NiveauVoorrand,Water_Hs,FictieveTaludHelling,Bekleding_HellingBovenTalud,Bekleding_Hellingtalud_Invoer,Water_XsiOp,Bekleding_Bermbreedte)</f>
        <v>0.7107107043266296</v>
      </c>
      <c r="DX8" s="376">
        <f>StabToplaag_ToetsG_Leklengte(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0</v>
      </c>
      <c r="DY8" s="376">
        <f>StabToplaag_ToetsG_A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0</v>
      </c>
      <c r="DZ8" s="376">
        <f>StabToplaag_ToetsG_B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0</v>
      </c>
      <c r="EA8" s="376">
        <f>Bekleding_Toplaag_Inklemfactor_Bepaal(Bekleding_Type_Toplaag,JNO(Bekleding_Toplaag_GoedGeklemdJNO))</f>
        <v>1</v>
      </c>
      <c r="EB8" s="376" t="str">
        <f>IF((StabToplaag_ToetG_Score="n.v.t.")+(StabToplaag_ToetG_Score="Niet uitgevoerd")+(StabToplaag_ToetG_F&gt;6),"n.v.t.",KlemfactorScore(Bekleding_Toplaag_Inklemfactor,StabToplaag_ToetsG_Klemfactor_TwijfelOnvoldoende,StabToplaag_ToetsG_Klemfactor_GoedTwijfel))</f>
        <v>Goed</v>
      </c>
      <c r="EC8" s="365">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1,Bekleding_Toplaag_Inwasmateriaal_D15/1000,Bekleding_Toplaag_Inwasmateriaal_Porositeit,JN("Nee"),InvloedsfactorBerm)</f>
        <v>1.0000000150474662E+30</v>
      </c>
      <c r="ED8" s="365">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Water_Hs,Water_Tp,0,JN(Bekleding_AlsBermJN),JN("Nee"),1,Bekleding_Toplaag_Inwasmateriaal_D15/1000,Bekleding_Toplaag_Inwasmateriaal_Porositeit,JN("Nee"),InvloedsfactorBerm)</f>
        <v>1.0000000150474662E+30</v>
      </c>
      <c r="EE8" s="377">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1.4*Water_Hs,Water_Tp,ROW(),JN(Bekleding_AlsBermJN),JN("Ja"),1,Bekleding_Toplaag_Inwasmateriaal_D15/1000,Bekleding_Toplaag_Inwasmateriaal_Porositeit,JN("Nee"),InvloedsfactorBerm)</f>
        <v>1.0000000150474662E+30</v>
      </c>
      <c r="EF8" s="377">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1.4*Water_Hs,Water_Tp,0,JN(Bekleding_AlsBermJN),JN("Ja"),1,Bekleding_Toplaag_Inwasmateriaal_D15/1000,Bekleding_Toplaag_Inwasmateriaal_Porositeit,JN("Nee"),InvloedsfactorBerm)</f>
        <v>1.0000000150474662E+30</v>
      </c>
      <c r="EG8" s="378">
        <v>1</v>
      </c>
    </row>
    <row r="9" spans="1:137" s="379" customFormat="1" ht="12.75" customHeight="1">
      <c r="A9" s="503">
        <v>2</v>
      </c>
      <c r="B9" s="347" t="s">
        <v>535</v>
      </c>
      <c r="C9" s="348">
        <v>2.4</v>
      </c>
      <c r="D9" s="349">
        <v>2.8</v>
      </c>
      <c r="E9" s="350">
        <v>1977</v>
      </c>
      <c r="F9" s="500">
        <v>2001</v>
      </c>
      <c r="G9" s="509">
        <v>10</v>
      </c>
      <c r="H9" s="351">
        <v>4</v>
      </c>
      <c r="I9" s="351">
        <v>6</v>
      </c>
      <c r="J9" s="349">
        <v>26</v>
      </c>
      <c r="K9" s="352" t="s">
        <v>536</v>
      </c>
      <c r="L9" s="351">
        <v>0.3</v>
      </c>
      <c r="M9" s="351">
        <v>0.25</v>
      </c>
      <c r="N9" s="351">
        <v>3</v>
      </c>
      <c r="O9" s="351">
        <v>2</v>
      </c>
      <c r="P9" s="353">
        <v>0.08</v>
      </c>
      <c r="Q9" s="354">
        <v>0.25</v>
      </c>
      <c r="R9" s="355">
        <v>0.35</v>
      </c>
      <c r="S9" s="351"/>
      <c r="T9" s="351"/>
      <c r="U9" s="356"/>
      <c r="V9" s="356">
        <v>12</v>
      </c>
      <c r="W9" s="470">
        <v>90</v>
      </c>
      <c r="X9" s="357">
        <v>2350</v>
      </c>
      <c r="Y9" s="524" t="s">
        <v>537</v>
      </c>
      <c r="Z9" s="356"/>
      <c r="AA9" s="349"/>
      <c r="AB9" s="358" t="s">
        <v>537</v>
      </c>
      <c r="AC9" s="359" t="s">
        <v>112</v>
      </c>
      <c r="AD9" s="360">
        <v>0.15</v>
      </c>
      <c r="AE9" s="356">
        <v>35</v>
      </c>
      <c r="AF9" s="356">
        <v>50</v>
      </c>
      <c r="AG9" s="349">
        <v>0.4</v>
      </c>
      <c r="AH9" s="358" t="s">
        <v>112</v>
      </c>
      <c r="AI9" s="355"/>
      <c r="AJ9" s="356"/>
      <c r="AK9" s="356"/>
      <c r="AL9" s="349"/>
      <c r="AM9" s="361"/>
      <c r="AN9" s="469" t="s">
        <v>434</v>
      </c>
      <c r="AO9" s="362"/>
      <c r="AP9" s="468" t="s">
        <v>538</v>
      </c>
      <c r="AQ9" s="351">
        <v>0.05</v>
      </c>
      <c r="AR9" s="351">
        <v>0.09</v>
      </c>
      <c r="AS9" s="355"/>
      <c r="AT9" s="351"/>
      <c r="AU9" s="431"/>
      <c r="AV9" s="468" t="s">
        <v>303</v>
      </c>
      <c r="AW9" s="478" t="s">
        <v>533</v>
      </c>
      <c r="AX9" s="486" t="s">
        <v>533</v>
      </c>
      <c r="AY9" s="351"/>
      <c r="AZ9" s="351" t="s">
        <v>112</v>
      </c>
      <c r="BA9" s="363"/>
      <c r="BB9" s="356">
        <v>3</v>
      </c>
      <c r="BC9" s="364">
        <v>1</v>
      </c>
      <c r="BD9" s="365">
        <f>Water_GHW_Bepaal(SubVakgrenzen_Van,SubVakgrenzen_Tot,IF(SubVakgrenzen_Van="",-1,0),IF(SubVakgrenzen_Tot="",-1,0))</f>
        <v>2</v>
      </c>
      <c r="BE9" s="365">
        <f>Water_Toetspeil2000_Bepaal(SubVakgrenzen_Van,SubVakgrenzen_Tot)</f>
        <v>5</v>
      </c>
      <c r="BF9" s="365">
        <f>MaatgevendeWaterStand_Bereken(SubVakgrenzen_Van,SubVakgrenzen_Tot,Water_TabelIndex,Onder_Berm_Boven,Bekleding_Hellingtalud_Invoer,Bekleding_Berm_OnderTalud,Bekleding_HellingBovenTalud,Bekleding_Berm_NiveauVoorrand,h_laag,h_hoog,Water_Toetspeil2000,Bekleding_Bermbreedte,Bekleding_Toplaag_D)</f>
        <v>5</v>
      </c>
      <c r="BG9" s="365">
        <f>Water_Hs_Bereken(SubVakgrenzen_Van,SubVakgrenzen_Tot,Water_TabelIndex,Water_MaatgevendeWaterstand,Water_Beta)</f>
        <v>0.699999988079071</v>
      </c>
      <c r="BH9" s="365">
        <f>Water_Tp_Bereken(SubVakgrenzen_Van,SubVakgrenzen_Tot,Water_TabelIndex,Water_MaatgevendeWaterstand,Water_Beta)</f>
        <v>3</v>
      </c>
      <c r="BI9" s="528">
        <f>IF(isLeeg(DijkorientatieTovN),0,Water_Beta_Bereken(SubVakgrenzen_Van,SubVakgrenzen_Tot,Water_TabelIndex,DijkorientatieTovN))</f>
        <v>0</v>
      </c>
      <c r="BJ9" s="435" t="str">
        <f>Afschuiving_Score_Bepaal(Bekleding_Toplaag_Delta,Bekleding_Toplaag_D,Bekleding_BovensteFilterlaag_b,Bekleding_Ondergrond_D15,Bekleding_TweedeFilterlaag_b,Bekleding_Klei_b,Bekleding_Hellingtalud_Invoer,Water_Hs,Water_Tp,h_laag,Water_Toetspeil2000,Onder_Berm_Boven,Klei_Dijkopbouw)</f>
        <v>Goed</v>
      </c>
      <c r="BK9" s="435" t="str">
        <f>MatTransp_Score_Bepaal(MatTransp_Ervaring,MatTransp_Geotextiel_O90/1000,Bekleding_Type_Filters,MatTransp_Filterlaag_D50/1000,Mattransp_Filterlaag_D15/1000,Bekleding_Klei_D50/1000,Bekleding_Klei_D90/1000,Bekleding_Ondergrond_D15/1000,Bekleding_Ondergrond_D50/1000,Bekleding_Ondergrond_D90/1000,h_laag,Water_Toetspeil2000,Water_Hs,StabToplaag_ToetsE_type,Bekleding_Klei_Kwaliteit)</f>
        <v>Goed</v>
      </c>
      <c r="BL9" s="476" t="str">
        <f>MatTransp_UitFilter_Score_Bepaal(Bekleding_Type_Toplaag,Bekleding_Toplaag_Spleetbreedte,h_laag,Water_MaatgevendeWaterstand,MatTransp_UitFilter_Ervaring,Bekleding_BovensteFilterlaag_D50,Water_Hs,Bekleding_Toplaag_OpenOpp_Relatief_Invoer,Bekleding_Toplaag_B_Invoer,Bekleding_Toplaag_L_Invoer,Bekleding_Toplaag_D,Bekleding_Type_Filters,Bekleding_Toplaag_Karakt_Opening)</f>
        <v>Goed</v>
      </c>
      <c r="BM9" s="435">
        <f>InvloedsfactorBerm2</f>
        <v>1</v>
      </c>
      <c r="BN9" s="367">
        <f>StabToplaag_ToetsE_HSDD_verh_Bepaal(InvloedsfactorBerm2,Water_Hs,Bekleding_Toplaag_Delta,RekenDikte)</f>
        <v>1.547169804573059</v>
      </c>
      <c r="BO9" s="367">
        <f>Water_XsiOp_Bereken(FictieveTaludHelling,Water_Hs,Water_Tp)</f>
        <v>1.3435561656951904</v>
      </c>
      <c r="BP9" s="369" t="str">
        <f>StabToplaag_ToetsE_Type_Bepaal(Bekleding_Type_Toplaag,Bekleding_Type_Filters,RekenDikte,Bekleding_Toplaag_OpenOpp_Relatief/100,Bekleding_BovensteFilterlaag_D15/1000,Bekleding_BovensteFilterlaag_b,JN(Bekleding_Toplaag_InwasJN),JN(Bekleding_Toplaag_AsfaltJN),JN(Bekleding_Toplaag_SlibJN),JNO(Bekleding_BovensteFilterlaag_SlibJNO),Water_Stormduur,isLeeg(Bekleding_Type_Toplaag),isLeeg(Bekleding_Type_Filters_Invoer),Bekleding_AfstandHouders_Ervaring)</f>
        <v>3b</v>
      </c>
      <c r="BQ9" s="373">
        <f>StabToplaag_ToetsE_gt_verh_Bepaal(StabToplaag_ToetsE_type,HsDeltaD_verh,Water_XsiOp,Bekleding_Toplaag_Delta,JN(Bekleding_Toplaag_AsfaltJN),h_hoog,h_laag,FictieveTaludHelling,RekenDikte,JN(Bekleding_Toplaag_SlibJN))</f>
        <v>1.954658031463623</v>
      </c>
      <c r="BR9" s="373">
        <f>StabToplaag_ToetsE_to_verh_Bepaal(StabToplaag_ToetsE_type,HsDeltaD_verh,Water_XsiOp,h_hoog,h_laag,FictieveTaludHelling,JN(Bekleding_Toplaag_SlibJN),JNO(Bekleding_BovensteFilterlaag_SlibJNO),JN(Bekleding_Toplaag_AsfaltJN),RekenDikte)</f>
        <v>3.487462282180786</v>
      </c>
      <c r="BS9" s="477" t="str">
        <f>StabToplaag_ToetsE_Score_Bepaal(StabToplaag_ToetsE_gt_verh,StabToplaag_ToetsE_to_verh,StabToplaag_ToetsE_type,JN(Bekleding_Toplaag_SlibJN),JNO(Bekleding_BovensteFilterlaag_SlibJNO),JN(Bekleding_Toplaag_AsfaltJN),Water_Hs,Water_Tp,FictieveTaludHelling,h_laag,h_hoog,Water_MaatgevendeWaterstand,Onder_Berm_Boven,Cw_Onvoldoende)</f>
        <v>Goed</v>
      </c>
      <c r="BT9" s="529">
        <f>HsDeltaD_verh*Water_XsiOp^(2/3)</f>
        <v>1.8838306780839515</v>
      </c>
      <c r="BU9" s="367" t="str">
        <f>IF(ISERROR(StabToplaag_ToetsG_BelastingEnSterkte_Verh_1),"Niet uitgevoerd",StabToplaag_ToetsG_Resultaat_Bepaal(StabToplaag_ToetsG_BelastingEnSterkte_Verh_1,StabToplaag_ToetsG_BelastingEnSterkte_Verh_2,StabToplaag_ToetsG_BelastingEnSterkte_Verh_3,StabToplaag_ToetsG_BelastingEnSterkte_Verh_4,Bekleding_Type_Toplaag,Bekleding_Type_Filters,Bekleding_BovensteFilterlaag_b,JN(Bekleding_AlsBermJN),JN(Bekleding_Toplaag_AsfaltJN),Bekleding_AfstandHouders_Ervaring,StabToplaag_ToetsG_Klemfactor_GoedTwijfel))</f>
        <v>Stabiel</v>
      </c>
      <c r="BV9" s="367" t="str">
        <f>IF(ISERROR(StabToplaag_ToetsG_BelastingEnSterkte_Verh_1),"Niet uitgevoerd",StabToplaag_ToetsG_Score_Bepaal(StabToplaag_ToetsG_BelastingEnSterkte_Verh_1,StabToplaag_ToetsG_BelastingEnSterkte_Verh_2,StabToplaag_ToetsG_BelastingEnSterkte_Verh_3,StabToplaag_ToetsG_BelastingEnSterkte_Verh_4,Bekleding_Type_Toplaag,Bekleding_Type_Filters,Bekleding_BovensteFilterlaag_b,JN(Bekleding_AlsBermJN),HsDeltaD_verh,Water_XsiOp,JN(Bekleding_Toplaag_AsfaltJN),Bekleding_AfstandHouders_Ervaring,StabToplaag_ToetsG_Klemfactor_GoedTwijfel,Cw_Onvoldoende))</f>
        <v>Goed</v>
      </c>
      <c r="BW9" s="438">
        <f>IF(ISERROR(StabToplaag_ToetsG_BelastingEnSterkte_Verh_1)," n.v.t.",iif((StabToplaag_ToetG_F&gt;6),"? (F&gt;6)",StabToplaag_ToetsG_Klemfactor_GoedTwijfel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1</v>
      </c>
      <c r="BX9" s="438">
        <f>IF(ISERROR(StabToplaag_ToetsG_BelastingEnSterkte_Verh_1)," n.v.t.",iif(+(StabToplaag_ToetG_F&gt;6),"? (F&gt;6)",StabToplaag_ToetsG_Klemfactor_TwijfelOnvoldoende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1</v>
      </c>
      <c r="BY9" s="367" t="str">
        <f>StabToplaag_Score_Bepaal(StabToplaag_ToetsE_score,StabToplaag_ToetsG_Score,HsDeltaD_verh,Water_XsiOp,h_laag,Water_Toetspeil2000)</f>
        <v>Goed</v>
      </c>
      <c r="BZ9" s="435" t="str">
        <f>iif(AND(Bekleding_BovensteOvergangsconstructie&lt;&gt;"",OR(Bekleding_BovensteOvergangsconstructie="a",Bekleding_BovensteOvergangsconstructie="b",Bekleding_BovensteOvergangsconstructie="b1",Bekleding_BovensteOvergangsconstructie="b2",Bekleding_BovensteOvergangsconstructie="b3",Bekleding_BovensteOvergangsconstructie="b4")),"Goed","Geavanceerd")</f>
        <v>Goed</v>
      </c>
      <c r="CA9" s="487">
        <f>Reststerkte_Filterlaag_Bepaal(Water_Hs,Water_Tp,Water_Beta,HsDeltaD_verh,Water_XsiOp,Bekleding_BovensteFilterlaag_b,Bekleding_TweedeFilterlaag_b)</f>
        <v>0</v>
      </c>
      <c r="CB9" s="366">
        <f>Reststerkte_Kleilaag_Bepaal(h_hoog,Bekleding_Klei_b,Water_GHW,Water_Hs,Bekleding_Klei_Kwaliteit,Klei_Dijkopbouw)</f>
        <v>0</v>
      </c>
      <c r="CC9" s="367" t="str">
        <f>Reststerkte_Score_Bepaal(Bekleding_Klei_b,Water_Stormduur,Reststerkte_Filterlaag,Reststerkte_Kleilaag)</f>
        <v>Onvoldoende</v>
      </c>
      <c r="CD9" s="368" t="str">
        <f>IF(ISERR(Afschuiving_Score)+ISERR(MatTransp_Score)+ISERR(StabToplaag_Score)+ISERR(Reststerkte_Score)=0,Eindscore_Bepaal(JNO(Bekleding_RuimteToplaagFilterJNO),Afschuiving_Score,MatTransp_Score,StabToplaag_Score,Reststerkte_Score,MatTransp_UitFilter_Score,Bovenste_OvergangsConstructie_Score,h_laag,Golfoploop,Water_MaatgevendeWaterstand),"FOUT")</f>
        <v>GOED</v>
      </c>
      <c r="CE9" s="534">
        <f>iif(h_laag&gt;=Water_MaatgevendeWaterstand,"n.v.t.",SQRT(2.3*9.8*Bekleding_Toplaag_Delta*Bekleding_Toplaag_D))</f>
        <v>3.1934268879417815</v>
      </c>
      <c r="CF9" s="370"/>
      <c r="CG9" s="367">
        <f>VerschilTussenBeheersOordeelEnSteenToets(Eindscore,Beheerdersoordeel)</f>
      </c>
      <c r="CH9" s="431"/>
      <c r="CI9" s="441" t="str">
        <f>EindOordeel(Eindscore,Beheerdersoordeel)</f>
        <v>GOED</v>
      </c>
      <c r="CJ9" s="371"/>
      <c r="CK9" s="372" t="str">
        <f>IF(Bekleding_Hellingtalud_Invoer&lt;1/9,"Ja","Nee")</f>
        <v>Nee</v>
      </c>
      <c r="CL9" s="365">
        <f>iif(Bekleding_HellingOnderTalud_Invoer="",Bekleding_Hellingtalud_Invoer,Bekleding_HellingOnderTalud_Invoer)</f>
        <v>0.25</v>
      </c>
      <c r="CM9" s="365">
        <f>IF(Bekleding_Berm_NiveauVoorrand_invoer="",10,Bekleding_Berm_NiveauVoorrand_invoer)</f>
        <v>3</v>
      </c>
      <c r="CN9" s="365">
        <f>iif(Bekleding_HellingBovenTalud_Invoer="",Bekleding_Hellingtalud_Invoer,Bekleding_HellingBovenTalud_Invoer)</f>
        <v>0.25</v>
      </c>
      <c r="CO9" s="365">
        <f>Bekleding_CheckType(Bekleding_Type_Toplaag)</f>
        <v>0</v>
      </c>
      <c r="CP9" s="373" t="str">
        <f>IF(isLeeg(Bekleding_Type_Filters_Invoer)&lt;&gt;0,"st",Bekleding_Type_Filters_Invoer)</f>
        <v>pu vl kl</v>
      </c>
      <c r="CQ9" s="365">
        <f>IF(Bekleding_Toplaag_B_Invoer=0,IF(AND(26&lt;=Bekleding_Type_Toplaag,Bekleding_Type_Toplaag&lt;29),0.3,0),Bekleding_Toplaag_B_Invoer)</f>
        <v>0.3</v>
      </c>
      <c r="CR9" s="365">
        <f>IF(Bekleding_Toplaag_L_Invoer=0,IF(AND(26&lt;=Bekleding_Type_Toplaag,Bekleding_Type_Toplaag&lt;29),0.3,0),Bekleding_Toplaag_L_Invoer)</f>
        <v>0.3</v>
      </c>
      <c r="CS9" s="365">
        <f>IF(Bekleding_Toplaag_Spleetbreedte_Invoer=0,1000*Bekleding_Toplaag_Spleetbreedte_Bereken(Bekleding_Toplaag_B,Bekleding_Toplaag_L,Bekleding_Toplaag_OpenOpp_Relatief_Invoer/100),Bekleding_Toplaag_Spleetbreedte_Invoer)</f>
        <v>19.801074638962746</v>
      </c>
      <c r="CT9" s="365">
        <f>IF(Bekleding_Toplaag_OpenOpp_Relatief_Invoer=0,100*Bekleding_Toplaag_OpenOpp_Relatief_Bereken(Bekleding_Toplaag_B,Bekleding_Toplaag_L,Bekleding_Toplaag_Spleetbreedte_Invoer/1000),Bekleding_Toplaag_OpenOpp_Relatief_Invoer)</f>
        <v>12</v>
      </c>
      <c r="CU9" s="365">
        <f>IF(isLeeg(Bekleding_Toplaag_SMassa_Invoer)&lt;&gt;0,HaalUitSheetAlgemeen(Bekleding_Type_Toplaag,"SMassa","Soortelijke massa"),Bekleding_Toplaag_SMassa_Invoer)</f>
        <v>2350</v>
      </c>
      <c r="CV9" s="365">
        <f>Bekleding_Toplaag_Delta_Bereken(Bekleding_Toplaag_SMassa)</f>
        <v>1.2926828861236572</v>
      </c>
      <c r="CW9" s="365">
        <f>IF(Bekleding_GeoTextiel1_O90_Invoer=0,10000,Bekleding_GeoTextiel1_O90_Invoer)</f>
        <v>10000</v>
      </c>
      <c r="CX9" s="372" t="str">
        <f>AsfaltJN(Bekleding_Type_Toplaag)</f>
        <v>Nee</v>
      </c>
      <c r="CY9" s="374">
        <f>IF(AND(0&lt;Bekleding_BovensteFilterlaag_b_Invoer,Bekleding_BovensteFilterlaag_b_Invoer&lt;MinimaleDikteFilterlaag),MinimaleDikteFilterlaag,Bekleding_BovensteFilterlaag_b_Invoer)</f>
        <v>0.15</v>
      </c>
      <c r="CZ9" s="365">
        <f>IF(Bekleding_BovensteFilterlaag_Porositeit_Invoer=0,Porositeit_Bepaal(Bekleding_Type_Filters_Invoer,1),Bekleding_BovensteFilterlaag_Porositeit_Invoer)</f>
        <v>0.4</v>
      </c>
      <c r="DA9" s="365">
        <f>IF(Bekleding_BovensteFilterlaag_D50_Invoer=0,1.2*Bekleding_BovensteFilterlaag_D15,Bekleding_BovensteFilterlaag_D50_Invoer)</f>
        <v>50</v>
      </c>
      <c r="DB9" s="373" t="str">
        <f>IF(Bekleding_TweedeFilterlaag_b_Invoer=0,"nee","ja")</f>
        <v>nee</v>
      </c>
      <c r="DC9" s="374">
        <f>IF(AND(0&lt;Bekleding_TweedeFilterlaag_b_Invoer,Bekleding_TweedeFilterlaag_b_Invoer&lt;MinimaleDikteFilterlaag),MinimaleDikteFilterlaag,Bekleding_TweedeFilterlaag_b_Invoer)</f>
        <v>0</v>
      </c>
      <c r="DD9" s="365">
        <f>IF(Bekleding_TweedeFilterlaag_Porositeit_Invoer=0,Porositeit_Bepaal(Bekleding_Type_Filters_Invoer,2),Bekleding_TweedeFilterlaag_Porositeit_Invoer)</f>
        <v>0.4000000059604645</v>
      </c>
      <c r="DE9" s="365">
        <f>IF(Bekleding_TweedeFilterlaag_D50_Invoer=0,1.2*Bekleding_TweedeFilterlaag_D15,Bekleding_TweedeFilterlaag_D50_Invoer)</f>
        <v>0</v>
      </c>
      <c r="DF9" s="365">
        <f>IF(Bekleding_Ondergrond_D90_Invoer=0,Bekleding_Ondergrond_D50*1.2,Bekleding_Ondergrond_D90_Invoer)</f>
        <v>0.156</v>
      </c>
      <c r="DG9" s="365">
        <f>IF(Bekleding_Ondergrond_D50_Invoer=0,0.13,Bekleding_Ondergrond_D50_Invoer)</f>
        <v>0.13</v>
      </c>
      <c r="DH9" s="365">
        <f>IF(Bekleding_Ondergrond_D15_Invoer=0,Bekleding_Ondergrond_D50/1.4,Bekleding_Ondergrond_D15_Invoer)</f>
        <v>0.09285714285714286</v>
      </c>
      <c r="DI9" s="365">
        <f>IF(Bekleding_Geotextiel2_O90_Invoer=0,10000,Bekleding_Geotextiel2_O90_Invoer)</f>
        <v>10000</v>
      </c>
      <c r="DJ9" s="372" t="str">
        <f>IF(Bekleding_Geotextiel2_O90=10000,"nee","ja")</f>
        <v>nee</v>
      </c>
      <c r="DK9" s="365">
        <f>IF(Water_Stormduur_Invoer=0,48,Water_Stormduur_Invoer)</f>
        <v>3</v>
      </c>
      <c r="DL9" s="375"/>
      <c r="DM9" s="365">
        <f>IF(JN(Bekleding_Geotextiel2_Aanwezig),Bekleding_Geotextiel2_O90,Bekleding_GeoTextiel1_O90)</f>
        <v>10000</v>
      </c>
      <c r="DN9" s="365">
        <f>IF(JN(Bekleding_TweedeFilterlaag_Aanwezig),Bekleding_TweedeFilterlaag_D15,Bekleding_BovensteFilterlaag_D15)</f>
        <v>35</v>
      </c>
      <c r="DO9" s="365">
        <f>IF(JN(Bekleding_TweedeFilterlaag_Aanwezig),Bekleding_TweedeFilterlaag_D50,Bekleding_BovensteFilterlaag_D50)</f>
        <v>50</v>
      </c>
      <c r="DP9" s="369">
        <f>InvloedsfactorBerm_Bereken(Onder_Berm_Boven,Water_Hs,Water_MaatgevendeWaterstand,Bekleding_Berm_NiveauVoorrand,Water_Tp,Bekleding_Berm_OnderTalud,Bekleding_Bermbreedte)</f>
        <v>0.6199726462364197</v>
      </c>
      <c r="DQ9" s="376">
        <f>InvloedsFactorBerm2_Bereken(h_laag,Water_MaatgevendeWaterstand,Bekleding_Toplaag_D,Onder_Berm_Boven,Bekleding_Bermbreedte,Bekleding_Berm_NiveauVoorrand,BermHelling,Water_Hs,InvloedsfactorBerm,Fictieve_Onder_Berm_Boven)</f>
        <v>1</v>
      </c>
      <c r="DR9" s="481">
        <f>FictieveTaludHelling_Bereken(Onder_Berm_Boven,Bekleding_Berm_OnderTalud,Bekleding_HellingBovenTalud,Bekleding_Hellingtalud_Invoer,Water_Hs,h_laag,h_hoog,Water_MaatgevendeWaterstand,Bekleding_Berm_NiveauVoorrand)</f>
        <v>0.30000001192092896</v>
      </c>
      <c r="DS9" s="376" t="str">
        <f>Onder_Berm_Boven_Bereken(BermHelling,h_laag,h_hoog,Bekleding_Berm_NiveauVoorrand,Bekleding_Hellingtalud_Invoer,Bekleding_Berm_OnderTalud,Bekleding_HellingBovenTalud,Bekleding_Bermbreedte,ROW())</f>
        <v>Bovenbeloop</v>
      </c>
      <c r="DT9" s="365" t="str">
        <f>Fictieve_Onder_Berm_Boven_Bereken(SubVakgrenzen_Van,SubVakgrenzen_Tot,Water_TabelIndex,Onder_Berm_Boven,Bekleding_Hellingtalud_Invoer,Bekleding_Berm_OnderTalud,Bekleding_HellingBovenTalud,Bekleding_Berm_NiveauVoorrand,h_laag,h_hoog,Water_Toetspeil2000,Bekleding_Bermbreedte,Bekleding_Toplaag_D)</f>
        <v>Bovenbeloop</v>
      </c>
      <c r="DU9" s="376">
        <f>RekenDikte_Bereken(h_laag,Water_MaatgevendeWaterstand,Bekleding_Toplaag_D,Onder_Berm_Boven,Bekleding_Bermbreedte,Bekleding_Berm_NiveauVoorrand,BermHelling,Water_Hs,InvloedsfactorBerm,Fictieve_Onder_Berm_Boven)</f>
        <v>0.3499999940395355</v>
      </c>
      <c r="DV9" s="376">
        <f>Cw_Onvoldoende_Bereken(h_laag,Water_MaatgevendeWaterstand,Bekleding_Toplaag_D,Onder_Berm_Boven,Bekleding_Bermbreedte,Bekleding_Berm_NiveauVoorrand,BermHelling,Water_Hs,InvloedsfactorBerm,Fictieve_Onder_Berm_Boven)</f>
        <v>1</v>
      </c>
      <c r="DW9" s="376">
        <f>Golfoploop_Bereken(Water_MaatgevendeWaterstand,Bekleding_Berm_NiveauVoorrand,Water_Hs,FictieveTaludHelling,Bekleding_HellingBovenTalud,Bekleding_Hellingtalud_Invoer,Water_XsiOp,Bekleding_Bermbreedte)</f>
        <v>1.2607643604278564</v>
      </c>
      <c r="DX9" s="376">
        <f>StabToplaag_ToetsG_Leklengte(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0.31262391805648804</v>
      </c>
      <c r="DY9" s="376">
        <f>StabToplaag_ToetsG_A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0.0013371238019317389</v>
      </c>
      <c r="DZ9" s="376">
        <f>StabToplaag_ToetsG_B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42.71970748901367</v>
      </c>
      <c r="EA9" s="376">
        <f>Bekleding_Toplaag_Inklemfactor_Bepaal(Bekleding_Type_Toplaag,JNO(Bekleding_Toplaag_GoedGeklemdJNO))</f>
        <v>1.7999999523162842</v>
      </c>
      <c r="EB9" s="376" t="str">
        <f>IF((StabToplaag_ToetG_Score="n.v.t.")+(StabToplaag_ToetG_Score="Niet uitgevoerd")+(StabToplaag_ToetG_F&gt;6),"n.v.t.",KlemfactorScore(Bekleding_Toplaag_Inklemfactor,StabToplaag_ToetsG_Klemfactor_TwijfelOnvoldoende,StabToplaag_ToetsG_Klemfactor_GoedTwijfel))</f>
        <v>Goed</v>
      </c>
      <c r="EC9" s="365">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1,Bekleding_Toplaag_Inwasmateriaal_D15/1000,Bekleding_Toplaag_Inwasmateriaal_Porositeit,JN("Nee"),InvloedsfactorBerm)</f>
        <v>0.24970465898513794</v>
      </c>
      <c r="ED9" s="365">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Water_Hs,Water_Tp,0,JN(Bekleding_AlsBermJN),JN("Nee"),1,Bekleding_Toplaag_Inwasmateriaal_D15/1000,Bekleding_Toplaag_Inwasmateriaal_Porositeit,JN("Nee"),InvloedsfactorBerm)</f>
        <v>0.1793716549873352</v>
      </c>
      <c r="EE9" s="377">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1.4*Water_Hs,Water_Tp,ROW(),JN(Bekleding_AlsBermJN),JN("Ja"),1,Bekleding_Toplaag_Inwasmateriaal_D15/1000,Bekleding_Toplaag_Inwasmateriaal_Porositeit,JN("Nee"),InvloedsfactorBerm)</f>
        <v>0.2508539855480194</v>
      </c>
      <c r="EF9" s="377">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1.4*Water_Hs,Water_Tp,0,JN(Bekleding_AlsBermJN),JN("Ja"),1,Bekleding_Toplaag_Inwasmateriaal_D15/1000,Bekleding_Toplaag_Inwasmateriaal_Porositeit,JN("Nee"),InvloedsfactorBerm)</f>
        <v>0.17245420813560486</v>
      </c>
      <c r="EG9" s="378">
        <v>1</v>
      </c>
    </row>
    <row r="10" spans="1:137" s="379" customFormat="1" ht="12.75" customHeight="1">
      <c r="A10" s="503" t="s">
        <v>534</v>
      </c>
      <c r="B10" s="347" t="s">
        <v>539</v>
      </c>
      <c r="C10" s="348">
        <v>48</v>
      </c>
      <c r="D10" s="349">
        <v>49</v>
      </c>
      <c r="E10" s="350"/>
      <c r="F10" s="500"/>
      <c r="G10" s="509">
        <v>25</v>
      </c>
      <c r="H10" s="351">
        <v>-1</v>
      </c>
      <c r="I10" s="351">
        <v>3</v>
      </c>
      <c r="J10" s="349">
        <v>27.11</v>
      </c>
      <c r="K10" s="352" t="s">
        <v>540</v>
      </c>
      <c r="L10" s="351">
        <v>0.3846153846153846</v>
      </c>
      <c r="M10" s="351"/>
      <c r="N10" s="351"/>
      <c r="O10" s="351"/>
      <c r="P10" s="353"/>
      <c r="Q10" s="354"/>
      <c r="R10" s="355">
        <v>0.3</v>
      </c>
      <c r="S10" s="351"/>
      <c r="T10" s="351"/>
      <c r="U10" s="356"/>
      <c r="V10" s="356">
        <v>12</v>
      </c>
      <c r="W10" s="470"/>
      <c r="X10" s="357"/>
      <c r="Y10" s="524" t="s">
        <v>112</v>
      </c>
      <c r="Z10" s="356"/>
      <c r="AA10" s="349"/>
      <c r="AB10" s="358" t="s">
        <v>537</v>
      </c>
      <c r="AC10" s="359" t="s">
        <v>112</v>
      </c>
      <c r="AD10" s="360">
        <v>0.15</v>
      </c>
      <c r="AE10" s="356">
        <v>35</v>
      </c>
      <c r="AF10" s="356">
        <v>50</v>
      </c>
      <c r="AG10" s="349">
        <v>0.4</v>
      </c>
      <c r="AH10" s="358" t="s">
        <v>112</v>
      </c>
      <c r="AI10" s="355"/>
      <c r="AJ10" s="356"/>
      <c r="AK10" s="356"/>
      <c r="AL10" s="349"/>
      <c r="AM10" s="361">
        <v>0.1</v>
      </c>
      <c r="AN10" s="469" t="s">
        <v>280</v>
      </c>
      <c r="AO10" s="362">
        <v>0.9</v>
      </c>
      <c r="AP10" s="468" t="s">
        <v>554</v>
      </c>
      <c r="AQ10" s="351"/>
      <c r="AR10" s="351"/>
      <c r="AS10" s="355"/>
      <c r="AT10" s="351"/>
      <c r="AU10" s="431"/>
      <c r="AV10" s="468" t="s">
        <v>303</v>
      </c>
      <c r="AW10" s="478" t="s">
        <v>533</v>
      </c>
      <c r="AX10" s="486" t="s">
        <v>533</v>
      </c>
      <c r="AY10" s="351"/>
      <c r="AZ10" s="351" t="s">
        <v>112</v>
      </c>
      <c r="BA10" s="363"/>
      <c r="BB10" s="356">
        <v>25</v>
      </c>
      <c r="BC10" s="364">
        <v>1</v>
      </c>
      <c r="BD10" s="365">
        <f>Water_GHW_Bepaal(SubVakgrenzen_Van,SubVakgrenzen_Tot,IF(SubVakgrenzen_Van="",-1,0),IF(SubVakgrenzen_Tot="",-1,0))</f>
        <v>2</v>
      </c>
      <c r="BE10" s="365">
        <f>Water_Toetspeil2000_Bepaal(SubVakgrenzen_Van,SubVakgrenzen_Tot)</f>
        <v>6</v>
      </c>
      <c r="BF10" s="365">
        <f>MaatgevendeWaterStand_Bereken(SubVakgrenzen_Van,SubVakgrenzen_Tot,Water_TabelIndex,Onder_Berm_Boven,Bekleding_Hellingtalud_Invoer,Bekleding_Berm_OnderTalud,Bekleding_HellingBovenTalud,Bekleding_Berm_NiveauVoorrand,h_laag,h_hoog,Water_Toetspeil2000,Bekleding_Bermbreedte,Bekleding_Toplaag_D)</f>
        <v>5.444235324859619</v>
      </c>
      <c r="BG10" s="365">
        <f>Water_Hs_Bereken(SubVakgrenzen_Van,SubVakgrenzen_Tot,Water_TabelIndex,Water_MaatgevendeWaterstand,Water_Beta)</f>
        <v>2.477694272994995</v>
      </c>
      <c r="BH10" s="365">
        <f>Water_Tp_Bereken(SubVakgrenzen_Van,SubVakgrenzen_Tot,Water_TabelIndex,Water_MaatgevendeWaterstand,Water_Beta)</f>
        <v>8.00548267364502</v>
      </c>
      <c r="BI10" s="528">
        <f>IF(isLeeg(DijkorientatieTovN),0,Water_Beta_Bereken(SubVakgrenzen_Van,SubVakgrenzen_Tot,Water_TabelIndex,DijkorientatieTovN))</f>
        <v>-25</v>
      </c>
      <c r="BJ10" s="435" t="str">
        <f>Afschuiving_Score_Bepaal(Bekleding_Toplaag_Delta,Bekleding_Toplaag_D,Bekleding_BovensteFilterlaag_b,Bekleding_Ondergrond_D15,Bekleding_TweedeFilterlaag_b,Bekleding_Klei_b,Bekleding_Hellingtalud_Invoer,Water_Hs,Water_Tp,h_laag,Water_Toetspeil2000,Onder_Berm_Boven,Klei_Dijkopbouw)</f>
        <v>Geavanceerd</v>
      </c>
      <c r="BK10" s="435" t="str">
        <f>MatTransp_Score_Bepaal(MatTransp_Ervaring,MatTransp_Geotextiel_O90/1000,Bekleding_Type_Filters,MatTransp_Filterlaag_D50/1000,Mattransp_Filterlaag_D15/1000,Bekleding_Klei_D50/1000,Bekleding_Klei_D90/1000,Bekleding_Ondergrond_D15/1000,Bekleding_Ondergrond_D50/1000,Bekleding_Ondergrond_D90/1000,h_laag,Water_Toetspeil2000,Water_Hs,StabToplaag_ToetsE_type,Bekleding_Klei_Kwaliteit)</f>
        <v>Goed</v>
      </c>
      <c r="BL10" s="476" t="str">
        <f>MatTransp_UitFilter_Score_Bepaal(Bekleding_Type_Toplaag,Bekleding_Toplaag_Spleetbreedte,h_laag,Water_MaatgevendeWaterstand,MatTransp_UitFilter_Ervaring,Bekleding_BovensteFilterlaag_D50,Water_Hs,Bekleding_Toplaag_OpenOpp_Relatief_Invoer,Bekleding_Toplaag_B_Invoer,Bekleding_Toplaag_L_Invoer,Bekleding_Toplaag_D,Bekleding_Type_Filters,Bekleding_Toplaag_Karakt_Opening)</f>
        <v>n.v.t.</v>
      </c>
      <c r="BM10" s="435">
        <f>InvloedsfactorBerm2</f>
        <v>1</v>
      </c>
      <c r="BN10" s="367">
        <f>StabToplaag_ToetsE_HSDD_verh_Bepaal(InvloedsfactorBerm2,Water_Hs,Bekleding_Toplaag_Delta,RekenDikte)</f>
        <v>6.639572620391846</v>
      </c>
      <c r="BO10" s="367">
        <f>Water_XsiOp_Bereken(FictieveTaludHelling,Water_Hs,Water_Tp)</f>
        <v>2.443164110183716</v>
      </c>
      <c r="BP10" s="369" t="str">
        <f>StabToplaag_ToetsE_Type_Bepaal(Bekleding_Type_Toplaag,Bekleding_Type_Filters,RekenDikte,Bekleding_Toplaag_OpenOpp_Relatief/100,Bekleding_BovensteFilterlaag_D15/1000,Bekleding_BovensteFilterlaag_b,JN(Bekleding_Toplaag_InwasJN),JN(Bekleding_Toplaag_AsfaltJN),JN(Bekleding_Toplaag_SlibJN),JNO(Bekleding_BovensteFilterlaag_SlibJNO),Water_Stormduur,isLeeg(Bekleding_Type_Toplaag),isLeeg(Bekleding_Type_Filters_Invoer),Bekleding_AfstandHouders_Ervaring)</f>
        <v>3b</v>
      </c>
      <c r="BQ10" s="373">
        <f>StabToplaag_ToetsE_gt_verh_Bepaal(StabToplaag_ToetsE_type,HsDeltaD_verh,Water_XsiOp,Bekleding_Toplaag_Delta,JN(Bekleding_Toplaag_AsfaltJN),h_hoog,h_laag,FictieveTaludHelling,RekenDikte,JN(Bekleding_Toplaag_SlibJN))</f>
        <v>0.24580305814743042</v>
      </c>
      <c r="BR10" s="373">
        <f>StabToplaag_ToetsE_to_verh_Bepaal(StabToplaag_ToetsE_type,HsDeltaD_verh,Water_XsiOp,h_hoog,h_laag,FictieveTaludHelling,JN(Bekleding_Toplaag_SlibJN),JNO(Bekleding_BovensteFilterlaag_SlibJNO),JN(Bekleding_Toplaag_AsfaltJN),RekenDikte)</f>
        <v>0.5553188323974609</v>
      </c>
      <c r="BS10" s="477" t="str">
        <f>StabToplaag_ToetsE_Score_Bepaal(StabToplaag_ToetsE_gt_verh,StabToplaag_ToetsE_to_verh,StabToplaag_ToetsE_type,JN(Bekleding_Toplaag_SlibJN),JNO(Bekleding_BovensteFilterlaag_SlibJNO),JN(Bekleding_Toplaag_AsfaltJN),Water_Hs,Water_Tp,FictieveTaludHelling,h_laag,h_hoog,Water_MaatgevendeWaterstand,Onder_Berm_Boven,Cw_Onvoldoende)</f>
        <v>Geavanceerd</v>
      </c>
      <c r="BT10" s="529">
        <f>HsDeltaD_verh*Water_XsiOp^(2/3)</f>
        <v>12.04412401607031</v>
      </c>
      <c r="BU10" s="367" t="str">
        <f>IF(ISERROR(StabToplaag_ToetsG_BelastingEnSterkte_Verh_1),"Niet uitgevoerd",StabToplaag_ToetsG_Resultaat_Bepaal(StabToplaag_ToetsG_BelastingEnSterkte_Verh_1,StabToplaag_ToetsG_BelastingEnSterkte_Verh_2,StabToplaag_ToetsG_BelastingEnSterkte_Verh_3,StabToplaag_ToetsG_BelastingEnSterkte_Verh_4,Bekleding_Type_Toplaag,Bekleding_Type_Filters,Bekleding_BovensteFilterlaag_b,JN(Bekleding_AlsBermJN),JN(Bekleding_Toplaag_AsfaltJN),Bekleding_AfstandHouders_Ervaring,StabToplaag_ToetsG_Klemfactor_GoedTwijfel))</f>
        <v>Niet toepasbaar</v>
      </c>
      <c r="BV10" s="367" t="str">
        <f>IF(ISERROR(StabToplaag_ToetsG_BelastingEnSterkte_Verh_1),"Niet uitgevoerd",StabToplaag_ToetsG_Score_Bepaal(StabToplaag_ToetsG_BelastingEnSterkte_Verh_1,StabToplaag_ToetsG_BelastingEnSterkte_Verh_2,StabToplaag_ToetsG_BelastingEnSterkte_Verh_3,StabToplaag_ToetsG_BelastingEnSterkte_Verh_4,Bekleding_Type_Toplaag,Bekleding_Type_Filters,Bekleding_BovensteFilterlaag_b,JN(Bekleding_AlsBermJN),HsDeltaD_verh,Water_XsiOp,JN(Bekleding_Toplaag_AsfaltJN),Bekleding_AfstandHouders_Ervaring,StabToplaag_ToetsG_Klemfactor_GoedTwijfel,Cw_Onvoldoende))</f>
        <v>Niet toepasbaar</v>
      </c>
      <c r="BW10" s="438" t="str">
        <f>IF(ISERROR(StabToplaag_ToetsG_BelastingEnSterkte_Verh_1)," n.v.t.",iif((StabToplaag_ToetG_F&gt;6),"? (F&gt;6)",StabToplaag_ToetsG_Klemfactor_GoedTwijfel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 (F&gt;6)</v>
      </c>
      <c r="BX10" s="438" t="str">
        <f>IF(ISERROR(StabToplaag_ToetsG_BelastingEnSterkte_Verh_1)," n.v.t.",iif(+(StabToplaag_ToetG_F&gt;6),"? (F&gt;6)",StabToplaag_ToetsG_Klemfactor_TwijfelOnvoldoende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 (F&gt;6)</v>
      </c>
      <c r="BY10" s="367" t="str">
        <f>StabToplaag_Score_Bepaal(StabToplaag_ToetsE_score,StabToplaag_ToetsG_Score,HsDeltaD_verh,Water_XsiOp,h_laag,Water_Toetspeil2000)</f>
        <v>Geavanceerd</v>
      </c>
      <c r="BZ10" s="435" t="str">
        <f>iif(AND(Bekleding_BovensteOvergangsconstructie&lt;&gt;"",OR(Bekleding_BovensteOvergangsconstructie="a",Bekleding_BovensteOvergangsconstructie="b",Bekleding_BovensteOvergangsconstructie="b1",Bekleding_BovensteOvergangsconstructie="b2",Bekleding_BovensteOvergangsconstructie="b3",Bekleding_BovensteOvergangsconstructie="b4")),"Goed","Geavanceerd")</f>
        <v>Goed</v>
      </c>
      <c r="CA10" s="487">
        <f>Reststerkte_Filterlaag_Bepaal(Water_Hs,Water_Tp,Water_Beta,HsDeltaD_verh,Water_XsiOp,Bekleding_BovensteFilterlaag_b,Bekleding_TweedeFilterlaag_b)</f>
        <v>0</v>
      </c>
      <c r="CB10" s="366">
        <f>Reststerkte_Kleilaag_Bepaal(h_hoog,Bekleding_Klei_b,Water_GHW,Water_Hs,Bekleding_Klei_Kwaliteit,Klei_Dijkopbouw)</f>
        <v>0</v>
      </c>
      <c r="CC10" s="367" t="str">
        <f>Reststerkte_Score_Bepaal(Bekleding_Klei_b,Water_Stormduur,Reststerkte_Filterlaag,Reststerkte_Kleilaag)</f>
        <v>Onvoldoende</v>
      </c>
      <c r="CD10" s="368" t="str">
        <f>IF(ISERR(Afschuiving_Score)+ISERR(MatTransp_Score)+ISERR(StabToplaag_Score)+ISERR(Reststerkte_Score)=0,Eindscore_Bepaal(JNO(Bekleding_RuimteToplaagFilterJNO),Afschuiving_Score,MatTransp_Score,StabToplaag_Score,Reststerkte_Score,MatTransp_UitFilter_Score,Bovenste_OvergangsConstructie_Score,h_laag,Golfoploop,Water_MaatgevendeWaterstand),"FOUT")</f>
        <v>GEAVANCEERD</v>
      </c>
      <c r="CE10" s="534">
        <f>iif(h_laag&gt;=Water_MaatgevendeWaterstand,"n.v.t.",SQRT(2.3*9.8*Bekleding_Toplaag_Delta*Bekleding_Toplaag_D))</f>
        <v>2.900218669687606</v>
      </c>
      <c r="CF10" s="370"/>
      <c r="CG10" s="367">
        <f>VerschilTussenBeheersOordeelEnSteenToets(Eindscore,Beheerdersoordeel)</f>
      </c>
      <c r="CH10" s="431"/>
      <c r="CI10" s="441" t="str">
        <f>EindOordeel(Eindscore,Beheerdersoordeel)</f>
        <v>GEAVANCEERD</v>
      </c>
      <c r="CJ10" s="371"/>
      <c r="CK10" s="372" t="str">
        <f>IF(Bekleding_Hellingtalud_Invoer&lt;1/9,"Ja","Nee")</f>
        <v>Nee</v>
      </c>
      <c r="CL10" s="365">
        <f>iif(Bekleding_HellingOnderTalud_Invoer="",Bekleding_Hellingtalud_Invoer,Bekleding_HellingOnderTalud_Invoer)</f>
        <v>0.3846153846153846</v>
      </c>
      <c r="CM10" s="365">
        <f>IF(Bekleding_Berm_NiveauVoorrand_invoer="",10,Bekleding_Berm_NiveauVoorrand_invoer)</f>
        <v>10</v>
      </c>
      <c r="CN10" s="365">
        <f>iif(Bekleding_HellingBovenTalud_Invoer="",Bekleding_Hellingtalud_Invoer,Bekleding_HellingBovenTalud_Invoer)</f>
        <v>0.3846153846153846</v>
      </c>
      <c r="CO10" s="365">
        <f>Bekleding_CheckType(Bekleding_Type_Toplaag)</f>
        <v>0</v>
      </c>
      <c r="CP10" s="373" t="str">
        <f>IF(isLeeg(Bekleding_Type_Filters_Invoer)&lt;&gt;0,"st",Bekleding_Type_Filters_Invoer)</f>
        <v>st ge kl</v>
      </c>
      <c r="CQ10" s="365">
        <f>IF(Bekleding_Toplaag_B_Invoer=0,IF(AND(26&lt;=Bekleding_Type_Toplaag,Bekleding_Type_Toplaag&lt;29),0.3,0),Bekleding_Toplaag_B_Invoer)</f>
        <v>0.3</v>
      </c>
      <c r="CR10" s="365">
        <f>IF(Bekleding_Toplaag_L_Invoer=0,IF(AND(26&lt;=Bekleding_Type_Toplaag,Bekleding_Type_Toplaag&lt;29),0.3,0),Bekleding_Toplaag_L_Invoer)</f>
        <v>0.3</v>
      </c>
      <c r="CS10" s="365">
        <f>IF(Bekleding_Toplaag_Spleetbreedte_Invoer=0,1000*Bekleding_Toplaag_Spleetbreedte_Bereken(Bekleding_Toplaag_B,Bekleding_Toplaag_L,Bekleding_Toplaag_OpenOpp_Relatief_Invoer/100),Bekleding_Toplaag_Spleetbreedte_Invoer)</f>
        <v>19.801074638962746</v>
      </c>
      <c r="CT10" s="365">
        <f>IF(Bekleding_Toplaag_OpenOpp_Relatief_Invoer=0,100*Bekleding_Toplaag_OpenOpp_Relatief_Bereken(Bekleding_Toplaag_B,Bekleding_Toplaag_L,Bekleding_Toplaag_Spleetbreedte_Invoer/1000),Bekleding_Toplaag_OpenOpp_Relatief_Invoer)</f>
        <v>12</v>
      </c>
      <c r="CU10" s="365">
        <f>IF(isLeeg(Bekleding_Toplaag_SMassa_Invoer)&lt;&gt;0,HaalUitSheetAlgemeen(Bekleding_Type_Toplaag,"SMassa","Soortelijke massa"),Bekleding_Toplaag_SMassa_Invoer)</f>
        <v>2300</v>
      </c>
      <c r="CV10" s="365">
        <f>Bekleding_Toplaag_Delta_Bereken(Bekleding_Toplaag_SMassa)</f>
        <v>1.2439024448394775</v>
      </c>
      <c r="CW10" s="365">
        <f>IF(Bekleding_GeoTextiel1_O90_Invoer=0,10000,Bekleding_GeoTextiel1_O90_Invoer)</f>
        <v>10000</v>
      </c>
      <c r="CX10" s="372" t="str">
        <f>AsfaltJN(Bekleding_Type_Toplaag)</f>
        <v>Ja</v>
      </c>
      <c r="CY10" s="374">
        <f>IF(AND(0&lt;Bekleding_BovensteFilterlaag_b_Invoer,Bekleding_BovensteFilterlaag_b_Invoer&lt;MinimaleDikteFilterlaag),MinimaleDikteFilterlaag,Bekleding_BovensteFilterlaag_b_Invoer)</f>
        <v>0.15</v>
      </c>
      <c r="CZ10" s="365">
        <f>IF(Bekleding_BovensteFilterlaag_Porositeit_Invoer=0,Porositeit_Bepaal(Bekleding_Type_Filters_Invoer,1),Bekleding_BovensteFilterlaag_Porositeit_Invoer)</f>
        <v>0.4</v>
      </c>
      <c r="DA10" s="365">
        <f>IF(Bekleding_BovensteFilterlaag_D50_Invoer=0,1.2*Bekleding_BovensteFilterlaag_D15,Bekleding_BovensteFilterlaag_D50_Invoer)</f>
        <v>50</v>
      </c>
      <c r="DB10" s="373" t="str">
        <f>IF(Bekleding_TweedeFilterlaag_b_Invoer=0,"nee","ja")</f>
        <v>nee</v>
      </c>
      <c r="DC10" s="374">
        <f>IF(AND(0&lt;Bekleding_TweedeFilterlaag_b_Invoer,Bekleding_TweedeFilterlaag_b_Invoer&lt;MinimaleDikteFilterlaag),MinimaleDikteFilterlaag,Bekleding_TweedeFilterlaag_b_Invoer)</f>
        <v>0</v>
      </c>
      <c r="DD10" s="365">
        <f>IF(Bekleding_TweedeFilterlaag_Porositeit_Invoer=0,Porositeit_Bepaal(Bekleding_Type_Filters_Invoer,2),Bekleding_TweedeFilterlaag_Porositeit_Invoer)</f>
        <v>0.4000000059604645</v>
      </c>
      <c r="DE10" s="365">
        <f>IF(Bekleding_TweedeFilterlaag_D50_Invoer=0,1.2*Bekleding_TweedeFilterlaag_D15,Bekleding_TweedeFilterlaag_D50_Invoer)</f>
        <v>0</v>
      </c>
      <c r="DF10" s="365">
        <f>IF(Bekleding_Ondergrond_D90_Invoer=0,Bekleding_Ondergrond_D50*1.2,Bekleding_Ondergrond_D90_Invoer)</f>
        <v>0.156</v>
      </c>
      <c r="DG10" s="365">
        <f>IF(Bekleding_Ondergrond_D50_Invoer=0,0.13,Bekleding_Ondergrond_D50_Invoer)</f>
        <v>0.13</v>
      </c>
      <c r="DH10" s="365">
        <f>IF(Bekleding_Ondergrond_D15_Invoer=0,Bekleding_Ondergrond_D50/1.4,Bekleding_Ondergrond_D15_Invoer)</f>
        <v>0.09285714285714286</v>
      </c>
      <c r="DI10" s="365">
        <f>IF(Bekleding_Geotextiel2_O90_Invoer=0,10000,Bekleding_Geotextiel2_O90_Invoer)</f>
        <v>0.1</v>
      </c>
      <c r="DJ10" s="372" t="str">
        <f>IF(Bekleding_Geotextiel2_O90=10000,"nee","ja")</f>
        <v>ja</v>
      </c>
      <c r="DK10" s="365">
        <f>IF(Water_Stormduur_Invoer=0,48,Water_Stormduur_Invoer)</f>
        <v>25</v>
      </c>
      <c r="DL10" s="375"/>
      <c r="DM10" s="365">
        <f>IF(JN(Bekleding_Geotextiel2_Aanwezig),Bekleding_Geotextiel2_O90,Bekleding_GeoTextiel1_O90)</f>
        <v>0.1</v>
      </c>
      <c r="DN10" s="365">
        <f>IF(JN(Bekleding_TweedeFilterlaag_Aanwezig),Bekleding_TweedeFilterlaag_D15,Bekleding_BovensteFilterlaag_D15)</f>
        <v>35</v>
      </c>
      <c r="DO10" s="365">
        <f>IF(JN(Bekleding_TweedeFilterlaag_Aanwezig),Bekleding_TweedeFilterlaag_D50,Bekleding_BovensteFilterlaag_D50)</f>
        <v>50</v>
      </c>
      <c r="DP10" s="369">
        <f>InvloedsfactorBerm_Bereken(Onder_Berm_Boven,Water_Hs,Water_MaatgevendeWaterstand,Bekleding_Berm_NiveauVoorrand,Water_Tp,Bekleding_Berm_OnderTalud,Bekleding_Bermbreedte)</f>
        <v>1</v>
      </c>
      <c r="DQ10" s="376">
        <f>InvloedsFactorBerm2_Bereken(h_laag,Water_MaatgevendeWaterstand,Bekleding_Toplaag_D,Onder_Berm_Boven,Bekleding_Bermbreedte,Bekleding_Berm_NiveauVoorrand,BermHelling,Water_Hs,InvloedsfactorBerm,Fictieve_Onder_Berm_Boven)</f>
        <v>1</v>
      </c>
      <c r="DR10" s="481">
        <f>FictieveTaludHelling_Bereken(Onder_Berm_Boven,Bekleding_Berm_OnderTalud,Bekleding_HellingBovenTalud,Bekleding_Hellingtalud_Invoer,Water_Hs,h_laag,h_hoog,Water_MaatgevendeWaterstand,Bekleding_Berm_NiveauVoorrand)</f>
        <v>0.38461539149284363</v>
      </c>
      <c r="DS10" s="376" t="str">
        <f>Onder_Berm_Boven_Bereken(BermHelling,h_laag,h_hoog,Bekleding_Berm_NiveauVoorrand,Bekleding_Hellingtalud_Invoer,Bekleding_Berm_OnderTalud,Bekleding_HellingBovenTalud,Bekleding_Bermbreedte,ROW())</f>
        <v>Onderbeloop</v>
      </c>
      <c r="DT10" s="365" t="str">
        <f>Fictieve_Onder_Berm_Boven_Bereken(SubVakgrenzen_Van,SubVakgrenzen_Tot,Water_TabelIndex,Onder_Berm_Boven,Bekleding_Hellingtalud_Invoer,Bekleding_Berm_OnderTalud,Bekleding_HellingBovenTalud,Bekleding_Berm_NiveauVoorrand,h_laag,h_hoog,Water_Toetspeil2000,Bekleding_Bermbreedte,Bekleding_Toplaag_D)</f>
        <v>Onderbeloop</v>
      </c>
      <c r="DU10" s="376">
        <f>RekenDikte_Bereken(h_laag,Water_MaatgevendeWaterstand,Bekleding_Toplaag_D,Onder_Berm_Boven,Bekleding_Bermbreedte,Bekleding_Berm_NiveauVoorrand,BermHelling,Water_Hs,InvloedsfactorBerm,Fictieve_Onder_Berm_Boven)</f>
        <v>0.30000001192092896</v>
      </c>
      <c r="DV10" s="376">
        <f>Cw_Onvoldoende_Bereken(h_laag,Water_MaatgevendeWaterstand,Bekleding_Toplaag_D,Onder_Berm_Boven,Bekleding_Bermbreedte,Bekleding_Berm_NiveauVoorrand,BermHelling,Water_Hs,InvloedsfactorBerm,Fictieve_Onder_Berm_Boven)</f>
        <v>1</v>
      </c>
      <c r="DW10" s="376">
        <f>Golfoploop_Bereken(Water_MaatgevendeWaterstand,Bekleding_Berm_NiveauVoorrand,Water_Hs,FictieveTaludHelling,Bekleding_HellingBovenTalud,Bekleding_Hellingtalud_Invoer,Water_XsiOp,Bekleding_Bermbreedte)</f>
        <v>7.594345569610596</v>
      </c>
      <c r="DX10" s="376">
        <f>StabToplaag_ToetsG_Leklengte(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0.29983749985694885</v>
      </c>
      <c r="DY10" s="376">
        <f>StabToplaag_ToetsG_A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0.0015598104801028967</v>
      </c>
      <c r="DZ10" s="376">
        <f>StabToplaag_ToetsG_B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49.20045471191406</v>
      </c>
      <c r="EA10" s="376">
        <f>Bekleding_Toplaag_Inklemfactor_Bepaal(Bekleding_Type_Toplaag,JNO(Bekleding_Toplaag_GoedGeklemdJNO))</f>
        <v>2</v>
      </c>
      <c r="EB10" s="376" t="str">
        <f>IF((StabToplaag_ToetG_Score="n.v.t.")+(StabToplaag_ToetG_Score="Niet uitgevoerd")+(StabToplaag_ToetG_F&gt;6),"n.v.t.",KlemfactorScore(Bekleding_Toplaag_Inklemfactor,StabToplaag_ToetsG_Klemfactor_TwijfelOnvoldoende,StabToplaag_ToetsG_Klemfactor_GoedTwijfel))</f>
        <v>n.v.t.</v>
      </c>
      <c r="EC10" s="365">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1,Bekleding_Toplaag_Inwasmateriaal_D15/1000,Bekleding_Toplaag_Inwasmateriaal_Porositeit,JN("Nee"),InvloedsfactorBerm)</f>
        <v>1.3358594179153442</v>
      </c>
      <c r="ED10" s="365">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Water_Hs,Water_Tp,0,JN(Bekleding_AlsBermJN),JN("Nee"),1,Bekleding_Toplaag_Inwasmateriaal_D15/1000,Bekleding_Toplaag_Inwasmateriaal_Porositeit,JN("Nee"),InvloedsfactorBerm)</f>
        <v>0.9233176708221436</v>
      </c>
      <c r="EE10" s="377">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1.4*Water_Hs,Water_Tp,ROW(),JN(Bekleding_AlsBermJN),JN("Ja"),1,Bekleding_Toplaag_Inwasmateriaal_D15/1000,Bekleding_Toplaag_Inwasmateriaal_Porositeit,JN("Nee"),InvloedsfactorBerm)</f>
        <v>1.4715595245361328</v>
      </c>
      <c r="EF10" s="377">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1.4*Water_Hs,Water_Tp,0,JN(Bekleding_AlsBermJN),JN("Ja"),1,Bekleding_Toplaag_Inwasmateriaal_D15/1000,Bekleding_Toplaag_Inwasmateriaal_Porositeit,JN("Nee"),InvloedsfactorBerm)</f>
        <v>0.9996192455291748</v>
      </c>
      <c r="EG10" s="378">
        <v>1</v>
      </c>
    </row>
    <row r="11" spans="1:137" s="379" customFormat="1" ht="12.75" customHeight="1">
      <c r="A11" s="503" t="s">
        <v>541</v>
      </c>
      <c r="B11" s="347" t="s">
        <v>542</v>
      </c>
      <c r="C11" s="348">
        <v>100</v>
      </c>
      <c r="D11" s="349">
        <v>101</v>
      </c>
      <c r="E11" s="350"/>
      <c r="F11" s="500"/>
      <c r="G11" s="509">
        <v>-10</v>
      </c>
      <c r="H11" s="351">
        <v>4</v>
      </c>
      <c r="I11" s="351">
        <v>4.6</v>
      </c>
      <c r="J11" s="349">
        <v>27.3</v>
      </c>
      <c r="K11" s="352" t="s">
        <v>543</v>
      </c>
      <c r="L11" s="351">
        <v>0.06666666666666667</v>
      </c>
      <c r="M11" s="351">
        <v>0.333</v>
      </c>
      <c r="N11" s="351">
        <v>4</v>
      </c>
      <c r="O11" s="351">
        <v>12</v>
      </c>
      <c r="P11" s="353">
        <v>0.05</v>
      </c>
      <c r="Q11" s="354">
        <v>0.4</v>
      </c>
      <c r="R11" s="355">
        <v>0.25</v>
      </c>
      <c r="S11" s="351"/>
      <c r="T11" s="351"/>
      <c r="U11" s="356"/>
      <c r="V11" s="356">
        <v>13</v>
      </c>
      <c r="W11" s="470"/>
      <c r="X11" s="357">
        <v>2600</v>
      </c>
      <c r="Y11" s="524" t="s">
        <v>537</v>
      </c>
      <c r="Z11" s="356">
        <v>8</v>
      </c>
      <c r="AA11" s="349">
        <v>0.7</v>
      </c>
      <c r="AB11" s="358" t="s">
        <v>537</v>
      </c>
      <c r="AC11" s="359" t="s">
        <v>112</v>
      </c>
      <c r="AD11" s="360">
        <v>0.1</v>
      </c>
      <c r="AE11" s="356">
        <v>17</v>
      </c>
      <c r="AF11" s="356">
        <v>25</v>
      </c>
      <c r="AG11" s="349">
        <v>0.35</v>
      </c>
      <c r="AH11" s="358" t="s">
        <v>112</v>
      </c>
      <c r="AI11" s="355"/>
      <c r="AJ11" s="356"/>
      <c r="AK11" s="356"/>
      <c r="AL11" s="349"/>
      <c r="AM11" s="361">
        <v>0.09</v>
      </c>
      <c r="AN11" s="469" t="s">
        <v>544</v>
      </c>
      <c r="AO11" s="362"/>
      <c r="AP11" s="468"/>
      <c r="AQ11" s="351"/>
      <c r="AR11" s="351"/>
      <c r="AS11" s="355">
        <v>0.2</v>
      </c>
      <c r="AT11" s="351">
        <v>0.24</v>
      </c>
      <c r="AU11" s="431">
        <v>0.32</v>
      </c>
      <c r="AV11" s="468" t="s">
        <v>303</v>
      </c>
      <c r="AW11" s="478" t="s">
        <v>532</v>
      </c>
      <c r="AX11" s="486"/>
      <c r="AY11" s="351"/>
      <c r="AZ11" s="351" t="s">
        <v>112</v>
      </c>
      <c r="BA11" s="363"/>
      <c r="BB11" s="356">
        <v>15</v>
      </c>
      <c r="BC11" s="364">
        <v>2</v>
      </c>
      <c r="BD11" s="365">
        <f>Water_GHW_Bepaal(SubVakgrenzen_Van,SubVakgrenzen_Tot,IF(SubVakgrenzen_Van="",-1,0),IF(SubVakgrenzen_Tot="",-1,0))</f>
        <v>2.200000047683716</v>
      </c>
      <c r="BE11" s="365">
        <f>Water_Toetspeil2000_Bepaal(SubVakgrenzen_Van,SubVakgrenzen_Tot)</f>
        <v>4.699999809265137</v>
      </c>
      <c r="BF11" s="365">
        <f>MaatgevendeWaterStand_Bereken(SubVakgrenzen_Van,SubVakgrenzen_Tot,Water_TabelIndex,Onder_Berm_Boven,Bekleding_Hellingtalud_Invoer,Bekleding_Berm_OnderTalud,Bekleding_HellingBovenTalud,Bekleding_Berm_NiveauVoorrand,h_laag,h_hoog,Water_Toetspeil2000,Bekleding_Bermbreedte,Bekleding_Toplaag_D)</f>
        <v>4.699999809265137</v>
      </c>
      <c r="BG11" s="365">
        <f>Water_Hs_Bereken(SubVakgrenzen_Van,SubVakgrenzen_Tot,Water_TabelIndex,Water_MaatgevendeWaterstand,Water_Beta)</f>
        <v>2.619999885559082</v>
      </c>
      <c r="BH11" s="365">
        <f>Water_Tp_Bereken(SubVakgrenzen_Van,SubVakgrenzen_Tot,Water_TabelIndex,Water_MaatgevendeWaterstand,Water_Beta)</f>
        <v>7.699999809265137</v>
      </c>
      <c r="BI11" s="528">
        <f>IF(isLeeg(DijkorientatieTovN),0,Water_Beta_Bereken(SubVakgrenzen_Van,SubVakgrenzen_Tot,Water_TabelIndex,DijkorientatieTovN))</f>
        <v>90</v>
      </c>
      <c r="BJ11" s="435" t="str">
        <f>Afschuiving_Score_Bepaal(Bekleding_Toplaag_Delta,Bekleding_Toplaag_D,Bekleding_BovensteFilterlaag_b,Bekleding_Ondergrond_D15,Bekleding_TweedeFilterlaag_b,Bekleding_Klei_b,Bekleding_Hellingtalud_Invoer,Water_Hs,Water_Tp,h_laag,Water_Toetspeil2000,Onder_Berm_Boven,Klei_Dijkopbouw)</f>
        <v>Goed</v>
      </c>
      <c r="BK11" s="435" t="str">
        <f>MatTransp_Score_Bepaal(MatTransp_Ervaring,MatTransp_Geotextiel_O90/1000,Bekleding_Type_Filters,MatTransp_Filterlaag_D50/1000,Mattransp_Filterlaag_D15/1000,Bekleding_Klei_D50/1000,Bekleding_Klei_D90/1000,Bekleding_Ondergrond_D15/1000,Bekleding_Ondergrond_D50/1000,Bekleding_Ondergrond_D90/1000,h_laag,Water_Toetspeil2000,Water_Hs,StabToplaag_ToetsE_type,Bekleding_Klei_Kwaliteit)</f>
        <v>Goed</v>
      </c>
      <c r="BL11" s="476" t="str">
        <f>MatTransp_UitFilter_Score_Bepaal(Bekleding_Type_Toplaag,Bekleding_Toplaag_Spleetbreedte,h_laag,Water_MaatgevendeWaterstand,MatTransp_UitFilter_Ervaring,Bekleding_BovensteFilterlaag_D50,Water_Hs,Bekleding_Toplaag_OpenOpp_Relatief_Invoer,Bekleding_Toplaag_B_Invoer,Bekleding_Toplaag_L_Invoer,Bekleding_Toplaag_D,Bekleding_Type_Filters,Bekleding_Toplaag_Karakt_Opening)</f>
        <v>Goed</v>
      </c>
      <c r="BM11" s="435">
        <f>InvloedsfactorBerm2</f>
        <v>0.5658445358276367</v>
      </c>
      <c r="BN11" s="367">
        <f>StabToplaag_ToetsE_HSDD_verh_Bepaal(InvloedsfactorBerm2,Water_Hs,Bekleding_Toplaag_Delta,RekenDikte)</f>
        <v>3.859239339828491</v>
      </c>
      <c r="BO11" s="367">
        <f>Water_XsiOp_Bereken(FictieveTaludHelling,Water_Hs,Water_Tp)</f>
        <v>2.0393924713134766</v>
      </c>
      <c r="BP11" s="369" t="str">
        <f>StabToplaag_ToetsE_Type_Bepaal(Bekleding_Type_Toplaag,Bekleding_Type_Filters,RekenDikte,Bekleding_Toplaag_OpenOpp_Relatief/100,Bekleding_BovensteFilterlaag_D15/1000,Bekleding_BovensteFilterlaag_b,JN(Bekleding_Toplaag_InwasJN),JN(Bekleding_Toplaag_AsfaltJN),JN(Bekleding_Toplaag_SlibJN),JNO(Bekleding_BovensteFilterlaag_SlibJNO),Water_Stormduur,isLeeg(Bekleding_Type_Toplaag),isLeeg(Bekleding_Type_Filters_Invoer),Bekleding_AfstandHouders_Ervaring)</f>
        <v>3b</v>
      </c>
      <c r="BQ11" s="373">
        <f>StabToplaag_ToetsE_gt_verh_Bepaal(StabToplaag_ToetsE_type,HsDeltaD_verh,Water_XsiOp,Bekleding_Toplaag_Delta,JN(Bekleding_Toplaag_AsfaltJN),h_hoog,h_laag,FictieveTaludHelling,RekenDikte,JN(Bekleding_Toplaag_SlibJN))</f>
        <v>0.5045250058174133</v>
      </c>
      <c r="BR11" s="373">
        <f>StabToplaag_ToetsE_to_verh_Bepaal(StabToplaag_ToetsE_type,HsDeltaD_verh,Water_XsiOp,h_hoog,h_laag,FictieveTaludHelling,JN(Bekleding_Toplaag_SlibJN),JNO(Bekleding_BovensteFilterlaag_SlibJNO),JN(Bekleding_Toplaag_AsfaltJN),RekenDikte)</f>
        <v>1.0339646339416504</v>
      </c>
      <c r="BS11" s="477" t="str">
        <f>StabToplaag_ToetsE_Score_Bepaal(StabToplaag_ToetsE_gt_verh,StabToplaag_ToetsE_to_verh,StabToplaag_ToetsE_type,JN(Bekleding_Toplaag_SlibJN),JNO(Bekleding_BovensteFilterlaag_SlibJNO),JN(Bekleding_Toplaag_AsfaltJN),Water_Hs,Water_Tp,FictieveTaludHelling,h_laag,h_hoog,Water_MaatgevendeWaterstand,Onder_Berm_Boven,Cw_Onvoldoende)</f>
        <v>Twijfelachtig</v>
      </c>
      <c r="BT11" s="529">
        <f>HsDeltaD_verh*Water_XsiOp^(2/3)</f>
        <v>6.206340342395015</v>
      </c>
      <c r="BU11" s="367" t="str">
        <f>IF(ISERROR(StabToplaag_ToetsG_BelastingEnSterkte_Verh_1),"Niet uitgevoerd",StabToplaag_ToetsG_Resultaat_Bepaal(StabToplaag_ToetsG_BelastingEnSterkte_Verh_1,StabToplaag_ToetsG_BelastingEnSterkte_Verh_2,StabToplaag_ToetsG_BelastingEnSterkte_Verh_3,StabToplaag_ToetsG_BelastingEnSterkte_Verh_4,Bekleding_Type_Toplaag,Bekleding_Type_Filters,Bekleding_BovensteFilterlaag_b,JN(Bekleding_AlsBermJN),JN(Bekleding_Toplaag_AsfaltJN),Bekleding_AfstandHouders_Ervaring,StabToplaag_ToetsG_Klemfactor_GoedTwijfel))</f>
        <v>Stabiel</v>
      </c>
      <c r="BV11" s="367" t="str">
        <f>IF(ISERROR(StabToplaag_ToetsG_BelastingEnSterkte_Verh_1),"Niet uitgevoerd",StabToplaag_ToetsG_Score_Bepaal(StabToplaag_ToetsG_BelastingEnSterkte_Verh_1,StabToplaag_ToetsG_BelastingEnSterkte_Verh_2,StabToplaag_ToetsG_BelastingEnSterkte_Verh_3,StabToplaag_ToetsG_BelastingEnSterkte_Verh_4,Bekleding_Type_Toplaag,Bekleding_Type_Filters,Bekleding_BovensteFilterlaag_b,JN(Bekleding_AlsBermJN),HsDeltaD_verh,Water_XsiOp,JN(Bekleding_Toplaag_AsfaltJN),Bekleding_AfstandHouders_Ervaring,StabToplaag_ToetsG_Klemfactor_GoedTwijfel,Cw_Onvoldoende))</f>
        <v>Geavanceerd</v>
      </c>
      <c r="BW11" s="438" t="str">
        <f>IF(ISERROR(StabToplaag_ToetsG_BelastingEnSterkte_Verh_1)," n.v.t.",iif((StabToplaag_ToetG_F&gt;6),"? (F&gt;6)",StabToplaag_ToetsG_Klemfactor_GoedTwijfel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 (F&gt;6)</v>
      </c>
      <c r="BX11" s="438" t="str">
        <f>IF(ISERROR(StabToplaag_ToetsG_BelastingEnSterkte_Verh_1)," n.v.t.",iif(+(StabToplaag_ToetG_F&gt;6),"? (F&gt;6)",StabToplaag_ToetsG_Klemfactor_TwijfelOnvoldoende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 (F&gt;6)</v>
      </c>
      <c r="BY11" s="367" t="str">
        <f>StabToplaag_Score_Bepaal(StabToplaag_ToetsE_score,StabToplaag_ToetsG_Score,HsDeltaD_verh,Water_XsiOp,h_laag,Water_Toetspeil2000)</f>
        <v>Geavanceerd</v>
      </c>
      <c r="BZ11" s="435" t="str">
        <f>iif(AND(Bekleding_BovensteOvergangsconstructie&lt;&gt;"",OR(Bekleding_BovensteOvergangsconstructie="a",Bekleding_BovensteOvergangsconstructie="b",Bekleding_BovensteOvergangsconstructie="b1",Bekleding_BovensteOvergangsconstructie="b2",Bekleding_BovensteOvergangsconstructie="b3",Bekleding_BovensteOvergangsconstructie="b4")),"Goed","Geavanceerd")</f>
        <v>Goed</v>
      </c>
      <c r="CA11" s="487">
        <f>Reststerkte_Filterlaag_Bepaal(Water_Hs,Water_Tp,Water_Beta,HsDeltaD_verh,Water_XsiOp,Bekleding_BovensteFilterlaag_b,Bekleding_TweedeFilterlaag_b)</f>
        <v>0</v>
      </c>
      <c r="CB11" s="366">
        <f>Reststerkte_Kleilaag_Bepaal(h_hoog,Bekleding_Klei_b,Water_GHW,Water_Hs,Bekleding_Klei_Kwaliteit,Klei_Dijkopbouw)</f>
        <v>0</v>
      </c>
      <c r="CC11" s="367" t="str">
        <f>Reststerkte_Score_Bepaal(Bekleding_Klei_b,Water_Stormduur,Reststerkte_Filterlaag,Reststerkte_Kleilaag)</f>
        <v>Onvoldoende</v>
      </c>
      <c r="CD11" s="368" t="str">
        <f>IF(ISERR(Afschuiving_Score)+ISERR(MatTransp_Score)+ISERR(StabToplaag_Score)+ISERR(Reststerkte_Score)=0,Eindscore_Bepaal(JNO(Bekleding_RuimteToplaagFilterJNO),Afschuiving_Score,MatTransp_Score,StabToplaag_Score,Reststerkte_Score,MatTransp_UitFilter_Score,Bovenste_OvergangsConstructie_Score,h_laag,Golfoploop,Water_MaatgevendeWaterstand),"FOUT")</f>
        <v>GEAVANCEERD</v>
      </c>
      <c r="CE11" s="534">
        <f>iif(h_laag&gt;=Water_MaatgevendeWaterstand,"n.v.t.",SQRT(2.3*9.8*Bekleding_Toplaag_Delta*Bekleding_Toplaag_D))</f>
        <v>2.942559827765149</v>
      </c>
      <c r="CF11" s="370"/>
      <c r="CG11" s="367">
        <f>VerschilTussenBeheersOordeelEnSteenToets(Eindscore,Beheerdersoordeel)</f>
      </c>
      <c r="CH11" s="431"/>
      <c r="CI11" s="441" t="str">
        <f>EindOordeel(Eindscore,Beheerdersoordeel)</f>
        <v>GEAVANCEERD</v>
      </c>
      <c r="CJ11" s="371"/>
      <c r="CK11" s="372" t="str">
        <f>IF(Bekleding_Hellingtalud_Invoer&lt;1/9,"Ja","Nee")</f>
        <v>Ja</v>
      </c>
      <c r="CL11" s="365">
        <f>iif(Bekleding_HellingOnderTalud_Invoer="",Bekleding_Hellingtalud_Invoer,Bekleding_HellingOnderTalud_Invoer)</f>
        <v>0.333</v>
      </c>
      <c r="CM11" s="365">
        <f>IF(Bekleding_Berm_NiveauVoorrand_invoer="",10,Bekleding_Berm_NiveauVoorrand_invoer)</f>
        <v>4</v>
      </c>
      <c r="CN11" s="365">
        <f>iif(Bekleding_HellingBovenTalud_Invoer="",Bekleding_Hellingtalud_Invoer,Bekleding_HellingBovenTalud_Invoer)</f>
        <v>0.4</v>
      </c>
      <c r="CO11" s="365">
        <f>Bekleding_CheckType(Bekleding_Type_Toplaag)</f>
        <v>0</v>
      </c>
      <c r="CP11" s="373" t="str">
        <f>IF(isLeeg(Bekleding_Type_Filters_Invoer)&lt;&gt;0,"st",Bekleding_Type_Filters_Invoer)</f>
        <v>st ge</v>
      </c>
      <c r="CQ11" s="365">
        <f>IF(Bekleding_Toplaag_B_Invoer=0,IF(AND(26&lt;=Bekleding_Type_Toplaag,Bekleding_Type_Toplaag&lt;29),0.3,0),Bekleding_Toplaag_B_Invoer)</f>
        <v>0.3</v>
      </c>
      <c r="CR11" s="365">
        <f>IF(Bekleding_Toplaag_L_Invoer=0,IF(AND(26&lt;=Bekleding_Type_Toplaag,Bekleding_Type_Toplaag&lt;29),0.3,0),Bekleding_Toplaag_L_Invoer)</f>
        <v>0.3</v>
      </c>
      <c r="CS11" s="365">
        <f>IF(Bekleding_Toplaag_Spleetbreedte_Invoer=0,1000*Bekleding_Toplaag_Spleetbreedte_Bereken(Bekleding_Toplaag_B,Bekleding_Toplaag_L,Bekleding_Toplaag_OpenOpp_Relatief_Invoer/100),Bekleding_Toplaag_Spleetbreedte_Invoer)</f>
        <v>21.633761003613472</v>
      </c>
      <c r="CT11" s="365">
        <f>IF(Bekleding_Toplaag_OpenOpp_Relatief_Invoer=0,100*Bekleding_Toplaag_OpenOpp_Relatief_Bereken(Bekleding_Toplaag_B,Bekleding_Toplaag_L,Bekleding_Toplaag_Spleetbreedte_Invoer/1000),Bekleding_Toplaag_OpenOpp_Relatief_Invoer)</f>
        <v>13</v>
      </c>
      <c r="CU11" s="365">
        <f>IF(isLeeg(Bekleding_Toplaag_SMassa_Invoer)&lt;&gt;0,HaalUitSheetAlgemeen(Bekleding_Type_Toplaag,"SMassa","Soortelijke massa"),Bekleding_Toplaag_SMassa_Invoer)</f>
        <v>2600</v>
      </c>
      <c r="CV11" s="365">
        <f>Bekleding_Toplaag_Delta_Bereken(Bekleding_Toplaag_SMassa)</f>
        <v>1.5365853309631348</v>
      </c>
      <c r="CW11" s="365">
        <f>IF(Bekleding_GeoTextiel1_O90_Invoer=0,10000,Bekleding_GeoTextiel1_O90_Invoer)</f>
        <v>10000</v>
      </c>
      <c r="CX11" s="372" t="str">
        <f>AsfaltJN(Bekleding_Type_Toplaag)</f>
        <v>Nee</v>
      </c>
      <c r="CY11" s="374">
        <f>IF(AND(0&lt;Bekleding_BovensteFilterlaag_b_Invoer,Bekleding_BovensteFilterlaag_b_Invoer&lt;MinimaleDikteFilterlaag),MinimaleDikteFilterlaag,Bekleding_BovensteFilterlaag_b_Invoer)</f>
        <v>0.1</v>
      </c>
      <c r="CZ11" s="365">
        <f>IF(Bekleding_BovensteFilterlaag_Porositeit_Invoer=0,Porositeit_Bepaal(Bekleding_Type_Filters_Invoer,1),Bekleding_BovensteFilterlaag_Porositeit_Invoer)</f>
        <v>0.35</v>
      </c>
      <c r="DA11" s="365">
        <f>IF(Bekleding_BovensteFilterlaag_D50_Invoer=0,1.2*Bekleding_BovensteFilterlaag_D15,Bekleding_BovensteFilterlaag_D50_Invoer)</f>
        <v>25</v>
      </c>
      <c r="DB11" s="373" t="str">
        <f>IF(Bekleding_TweedeFilterlaag_b_Invoer=0,"nee","ja")</f>
        <v>nee</v>
      </c>
      <c r="DC11" s="374">
        <f>IF(AND(0&lt;Bekleding_TweedeFilterlaag_b_Invoer,Bekleding_TweedeFilterlaag_b_Invoer&lt;MinimaleDikteFilterlaag),MinimaleDikteFilterlaag,Bekleding_TweedeFilterlaag_b_Invoer)</f>
        <v>0</v>
      </c>
      <c r="DD11" s="365">
        <f>IF(Bekleding_TweedeFilterlaag_Porositeit_Invoer=0,Porositeit_Bepaal(Bekleding_Type_Filters_Invoer,2),Bekleding_TweedeFilterlaag_Porositeit_Invoer)</f>
        <v>0.4000000059604645</v>
      </c>
      <c r="DE11" s="365">
        <f>IF(Bekleding_TweedeFilterlaag_D50_Invoer=0,1.2*Bekleding_TweedeFilterlaag_D15,Bekleding_TweedeFilterlaag_D50_Invoer)</f>
        <v>0</v>
      </c>
      <c r="DF11" s="365">
        <f>IF(Bekleding_Ondergrond_D90_Invoer=0,Bekleding_Ondergrond_D50*1.2,Bekleding_Ondergrond_D90_Invoer)</f>
        <v>0.32</v>
      </c>
      <c r="DG11" s="365">
        <f>IF(Bekleding_Ondergrond_D50_Invoer=0,0.13,Bekleding_Ondergrond_D50_Invoer)</f>
        <v>0.24</v>
      </c>
      <c r="DH11" s="365">
        <f>IF(Bekleding_Ondergrond_D15_Invoer=0,Bekleding_Ondergrond_D50/1.4,Bekleding_Ondergrond_D15_Invoer)</f>
        <v>0.2</v>
      </c>
      <c r="DI11" s="365">
        <f>IF(Bekleding_Geotextiel2_O90_Invoer=0,10000,Bekleding_Geotextiel2_O90_Invoer)</f>
        <v>0.09</v>
      </c>
      <c r="DJ11" s="372" t="str">
        <f>IF(Bekleding_Geotextiel2_O90=10000,"nee","ja")</f>
        <v>ja</v>
      </c>
      <c r="DK11" s="365">
        <f>IF(Water_Stormduur_Invoer=0,48,Water_Stormduur_Invoer)</f>
        <v>15</v>
      </c>
      <c r="DL11" s="375"/>
      <c r="DM11" s="365">
        <f>IF(JN(Bekleding_Geotextiel2_Aanwezig),Bekleding_Geotextiel2_O90,Bekleding_GeoTextiel1_O90)</f>
        <v>0.09</v>
      </c>
      <c r="DN11" s="365">
        <f>IF(JN(Bekleding_TweedeFilterlaag_Aanwezig),Bekleding_TweedeFilterlaag_D15,Bekleding_BovensteFilterlaag_D15)</f>
        <v>17</v>
      </c>
      <c r="DO11" s="365">
        <f>IF(JN(Bekleding_TweedeFilterlaag_Aanwezig),Bekleding_TweedeFilterlaag_D50,Bekleding_BovensteFilterlaag_D50)</f>
        <v>25</v>
      </c>
      <c r="DP11" s="369">
        <f>InvloedsfactorBerm_Bereken(Onder_Berm_Boven,Water_Hs,Water_MaatgevendeWaterstand,Bekleding_Berm_NiveauVoorrand,Water_Tp,Bekleding_Berm_OnderTalud,Bekleding_Bermbreedte)</f>
        <v>0.5658445358276367</v>
      </c>
      <c r="DQ11" s="376">
        <f>InvloedsFactorBerm2_Bereken(h_laag,Water_MaatgevendeWaterstand,Bekleding_Toplaag_D,Onder_Berm_Boven,Bekleding_Bermbreedte,Bekleding_Berm_NiveauVoorrand,BermHelling,Water_Hs,InvloedsfactorBerm,Fictieve_Onder_Berm_Boven)</f>
        <v>0.5658445358276367</v>
      </c>
      <c r="DR11" s="481">
        <f>FictieveTaludHelling_Bereken(Onder_Berm_Boven,Bekleding_Berm_OnderTalud,Bekleding_HellingBovenTalud,Bekleding_Hellingtalud_Invoer,Water_Hs,h_laag,h_hoog,Water_MaatgevendeWaterstand,Bekleding_Berm_NiveauVoorrand)</f>
        <v>0.3432404398918152</v>
      </c>
      <c r="DS11" s="376" t="str">
        <f>Onder_Berm_Boven_Bereken(BermHelling,h_laag,h_hoog,Bekleding_Berm_NiveauVoorrand,Bekleding_Hellingtalud_Invoer,Bekleding_Berm_OnderTalud,Bekleding_HellingBovenTalud,Bekleding_Bermbreedte,ROW())</f>
        <v>Berm</v>
      </c>
      <c r="DT11" s="365" t="str">
        <f>Fictieve_Onder_Berm_Boven_Bereken(SubVakgrenzen_Van,SubVakgrenzen_Tot,Water_TabelIndex,Onder_Berm_Boven,Bekleding_Hellingtalud_Invoer,Bekleding_Berm_OnderTalud,Bekleding_HellingBovenTalud,Bekleding_Berm_NiveauVoorrand,h_laag,h_hoog,Water_Toetspeil2000,Bekleding_Bermbreedte,Bekleding_Toplaag_D)</f>
        <v>Berm</v>
      </c>
      <c r="DU11" s="376">
        <f>RekenDikte_Bereken(h_laag,Water_MaatgevendeWaterstand,Bekleding_Toplaag_D,Onder_Berm_Boven,Bekleding_Bermbreedte,Bekleding_Berm_NiveauVoorrand,BermHelling,Water_Hs,InvloedsfactorBerm,Fictieve_Onder_Berm_Boven)</f>
        <v>0.25</v>
      </c>
      <c r="DV11" s="376">
        <f>Cw_Onvoldoende_Bereken(h_laag,Water_MaatgevendeWaterstand,Bekleding_Toplaag_D,Onder_Berm_Boven,Bekleding_Bermbreedte,Bekleding_Berm_NiveauVoorrand,BermHelling,Water_Hs,InvloedsfactorBerm,Fictieve_Onder_Berm_Boven)</f>
        <v>1</v>
      </c>
      <c r="DW11" s="376">
        <f>Golfoploop_Bereken(Water_MaatgevendeWaterstand,Bekleding_Berm_NiveauVoorrand,Water_Hs,FictieveTaludHelling,Bekleding_HellingBovenTalud,Bekleding_Hellingtalud_Invoer,Water_XsiOp,Bekleding_Bermbreedte)</f>
        <v>4.884854793548584</v>
      </c>
      <c r="DX11" s="376">
        <f>StabToplaag_ToetsG_Leklengte(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0.22614282369613647</v>
      </c>
      <c r="DY11" s="376">
        <f>StabToplaag_ToetsG_A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0.11478861421346664</v>
      </c>
      <c r="DZ11" s="376">
        <f>StabToplaag_ToetsG_B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150.60556030273438</v>
      </c>
      <c r="EA11" s="376">
        <f>Bekleding_Toplaag_Inklemfactor_Bepaal(Bekleding_Type_Toplaag,JNO(Bekleding_Toplaag_GoedGeklemdJNO))</f>
        <v>2</v>
      </c>
      <c r="EB11" s="376" t="str">
        <f>IF((StabToplaag_ToetG_Score="n.v.t.")+(StabToplaag_ToetG_Score="Niet uitgevoerd")+(StabToplaag_ToetG_F&gt;6),"n.v.t.",KlemfactorScore(Bekleding_Toplaag_Inklemfactor,StabToplaag_ToetsG_Klemfactor_TwijfelOnvoldoende,StabToplaag_ToetsG_Klemfactor_GoedTwijfel))</f>
        <v>n.v.t.</v>
      </c>
      <c r="EC11" s="365">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1,Bekleding_Toplaag_Inwasmateriaal_D15/1000,Bekleding_Toplaag_Inwasmateriaal_Porositeit,JN("Nee"),InvloedsfactorBerm)</f>
        <v>0.6504378318786621</v>
      </c>
      <c r="ED11" s="365">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Water_Hs,Water_Tp,0,JN(Bekleding_AlsBermJN),JN("Nee"),1,Bekleding_Toplaag_Inwasmateriaal_D15/1000,Bekleding_Toplaag_Inwasmateriaal_Porositeit,JN("Nee"),InvloedsfactorBerm)</f>
        <v>0.44766131043434143</v>
      </c>
      <c r="EE11" s="377">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1.4*Water_Hs,Water_Tp,ROW(),JN(Bekleding_AlsBermJN),JN("Ja"),1,Bekleding_Toplaag_Inwasmateriaal_D15/1000,Bekleding_Toplaag_Inwasmateriaal_Porositeit,JN("Nee"),InvloedsfactorBerm)</f>
        <v>0.7093216776847839</v>
      </c>
      <c r="EF11" s="377">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1.4*Water_Hs,Water_Tp,0,JN(Bekleding_AlsBermJN),JN("Ja"),1,Bekleding_Toplaag_Inwasmateriaal_D15/1000,Bekleding_Toplaag_Inwasmateriaal_Porositeit,JN("Nee"),InvloedsfactorBerm)</f>
        <v>0.4808735251426697</v>
      </c>
      <c r="EG11" s="378">
        <v>1</v>
      </c>
    </row>
    <row r="12" spans="1:137" s="379" customFormat="1" ht="12.75" customHeight="1">
      <c r="A12" s="503">
        <v>5</v>
      </c>
      <c r="B12" s="347" t="s">
        <v>545</v>
      </c>
      <c r="C12" s="348">
        <v>102.1</v>
      </c>
      <c r="D12" s="349">
        <v>103</v>
      </c>
      <c r="E12" s="350"/>
      <c r="F12" s="500"/>
      <c r="G12" s="509">
        <v>-20</v>
      </c>
      <c r="H12" s="351">
        <v>2</v>
      </c>
      <c r="I12" s="351">
        <v>4</v>
      </c>
      <c r="J12" s="349">
        <v>11.4</v>
      </c>
      <c r="K12" s="352" t="s">
        <v>546</v>
      </c>
      <c r="L12" s="351">
        <v>0.25</v>
      </c>
      <c r="M12" s="351">
        <v>0.25</v>
      </c>
      <c r="N12" s="351"/>
      <c r="O12" s="351"/>
      <c r="P12" s="353"/>
      <c r="Q12" s="354"/>
      <c r="R12" s="355">
        <v>0.5</v>
      </c>
      <c r="S12" s="351">
        <v>0.2</v>
      </c>
      <c r="T12" s="351">
        <v>0.5</v>
      </c>
      <c r="U12" s="356">
        <v>1</v>
      </c>
      <c r="V12" s="356"/>
      <c r="W12" s="470"/>
      <c r="X12" s="357">
        <v>2330</v>
      </c>
      <c r="Y12" s="524" t="s">
        <v>112</v>
      </c>
      <c r="Z12" s="356"/>
      <c r="AA12" s="349"/>
      <c r="AB12" s="358"/>
      <c r="AC12" s="359" t="s">
        <v>537</v>
      </c>
      <c r="AD12" s="360">
        <v>0.05</v>
      </c>
      <c r="AE12" s="356">
        <v>3</v>
      </c>
      <c r="AF12" s="356">
        <v>7</v>
      </c>
      <c r="AG12" s="349">
        <v>0.35</v>
      </c>
      <c r="AH12" s="358" t="s">
        <v>537</v>
      </c>
      <c r="AI12" s="355">
        <v>0.85</v>
      </c>
      <c r="AJ12" s="356">
        <v>2</v>
      </c>
      <c r="AK12" s="356">
        <v>30</v>
      </c>
      <c r="AL12" s="349">
        <v>0.25</v>
      </c>
      <c r="AM12" s="361">
        <v>0.17</v>
      </c>
      <c r="AN12" s="469"/>
      <c r="AO12" s="362"/>
      <c r="AP12" s="468"/>
      <c r="AQ12" s="351"/>
      <c r="AR12" s="351"/>
      <c r="AS12" s="355">
        <v>0.2</v>
      </c>
      <c r="AT12" s="351">
        <v>0.24</v>
      </c>
      <c r="AU12" s="431">
        <v>0.32</v>
      </c>
      <c r="AV12" s="468" t="s">
        <v>303</v>
      </c>
      <c r="AW12" s="478" t="s">
        <v>532</v>
      </c>
      <c r="AX12" s="486"/>
      <c r="AY12" s="351"/>
      <c r="AZ12" s="351" t="s">
        <v>112</v>
      </c>
      <c r="BA12" s="363"/>
      <c r="BB12" s="356">
        <v>10</v>
      </c>
      <c r="BC12" s="364">
        <v>1</v>
      </c>
      <c r="BD12" s="365">
        <f>Water_GHW_Bepaal(SubVakgrenzen_Van,SubVakgrenzen_Tot,IF(SubVakgrenzen_Van="",-1,0),IF(SubVakgrenzen_Tot="",-1,0))</f>
        <v>2</v>
      </c>
      <c r="BE12" s="365">
        <f>Water_Toetspeil2000_Bepaal(SubVakgrenzen_Van,SubVakgrenzen_Tot)</f>
        <v>5</v>
      </c>
      <c r="BF12" s="365">
        <f>MaatgevendeWaterStand_Bereken(SubVakgrenzen_Van,SubVakgrenzen_Tot,Water_TabelIndex,Onder_Berm_Boven,Bekleding_Hellingtalud_Invoer,Bekleding_Berm_OnderTalud,Bekleding_HellingBovenTalud,Bekleding_Berm_NiveauVoorrand,h_laag,h_hoog,Water_Toetspeil2000,Bekleding_Bermbreedte,Bekleding_Toplaag_D)</f>
        <v>5</v>
      </c>
      <c r="BG12" s="365">
        <f>Water_Hs_Bereken(SubVakgrenzen_Van,SubVakgrenzen_Tot,Water_TabelIndex,Water_MaatgevendeWaterstand,Water_Beta)</f>
        <v>1.7999999523162842</v>
      </c>
      <c r="BH12" s="365">
        <f>Water_Tp_Bereken(SubVakgrenzen_Van,SubVakgrenzen_Tot,Water_TabelIndex,Water_MaatgevendeWaterstand,Water_Beta)</f>
        <v>6</v>
      </c>
      <c r="BI12" s="528">
        <f>IF(isLeeg(DijkorientatieTovN),0,Water_Beta_Bereken(SubVakgrenzen_Van,SubVakgrenzen_Tot,Water_TabelIndex,DijkorientatieTovN))</f>
        <v>20</v>
      </c>
      <c r="BJ12" s="435" t="str">
        <f>Afschuiving_Score_Bepaal(Bekleding_Toplaag_Delta,Bekleding_Toplaag_D,Bekleding_BovensteFilterlaag_b,Bekleding_Ondergrond_D15,Bekleding_TweedeFilterlaag_b,Bekleding_Klei_b,Bekleding_Hellingtalud_Invoer,Water_Hs,Water_Tp,h_laag,Water_Toetspeil2000,Onder_Berm_Boven,Klei_Dijkopbouw)</f>
        <v>Goed</v>
      </c>
      <c r="BK12" s="435" t="str">
        <f>MatTransp_Score_Bepaal(MatTransp_Ervaring,MatTransp_Geotextiel_O90/1000,Bekleding_Type_Filters,MatTransp_Filterlaag_D50/1000,Mattransp_Filterlaag_D15/1000,Bekleding_Klei_D50/1000,Bekleding_Klei_D90/1000,Bekleding_Ondergrond_D15/1000,Bekleding_Ondergrond_D50/1000,Bekleding_Ondergrond_D90/1000,h_laag,Water_Toetspeil2000,Water_Hs,StabToplaag_ToetsE_type,Bekleding_Klei_Kwaliteit)</f>
        <v>Goed</v>
      </c>
      <c r="BL12" s="476" t="str">
        <f>MatTransp_UitFilter_Score_Bepaal(Bekleding_Type_Toplaag,Bekleding_Toplaag_Spleetbreedte,h_laag,Water_MaatgevendeWaterstand,MatTransp_UitFilter_Ervaring,Bekleding_BovensteFilterlaag_D50,Water_Hs,Bekleding_Toplaag_OpenOpp_Relatief_Invoer,Bekleding_Toplaag_B_Invoer,Bekleding_Toplaag_L_Invoer,Bekleding_Toplaag_D,Bekleding_Type_Filters,Bekleding_Toplaag_Karakt_Opening)</f>
        <v>Goed</v>
      </c>
      <c r="BM12" s="435">
        <f>InvloedsfactorBerm2</f>
        <v>1</v>
      </c>
      <c r="BN12" s="367">
        <f>StabToplaag_ToetsE_HSDD_verh_Bepaal(InvloedsfactorBerm2,Water_Hs,Bekleding_Toplaag_Delta,RekenDikte)</f>
        <v>2.8275861740112305</v>
      </c>
      <c r="BO12" s="367">
        <f>Water_XsiOp_Bereken(FictieveTaludHelling,Water_Hs,Water_Tp)</f>
        <v>1.3964240550994873</v>
      </c>
      <c r="BP12" s="369" t="str">
        <f>StabToplaag_ToetsE_Type_Bepaal(Bekleding_Type_Toplaag,Bekleding_Type_Filters,RekenDikte,Bekleding_Toplaag_OpenOpp_Relatief/100,Bekleding_BovensteFilterlaag_D15/1000,Bekleding_BovensteFilterlaag_b,JN(Bekleding_Toplaag_InwasJN),JN(Bekleding_Toplaag_AsfaltJN),JN(Bekleding_Toplaag_SlibJN),JNO(Bekleding_BovensteFilterlaag_SlibJNO),Water_Stormduur,isLeeg(Bekleding_Type_Toplaag),isLeeg(Bekleding_Type_Filters_Invoer),Bekleding_AfstandHouders_Ervaring)</f>
        <v>3c</v>
      </c>
      <c r="BQ12" s="373">
        <f>StabToplaag_ToetsE_gt_verh_Bepaal(StabToplaag_ToetsE_type,HsDeltaD_verh,Water_XsiOp,Bekleding_Toplaag_Delta,JN(Bekleding_Toplaag_AsfaltJN),h_hoog,h_laag,FictieveTaludHelling,RekenDikte,JN(Bekleding_Toplaag_SlibJN))</f>
        <v>0.7738823890686035</v>
      </c>
      <c r="BR12" s="373">
        <f>StabToplaag_ToetsE_to_verh_Bepaal(StabToplaag_ToetsE_type,HsDeltaD_verh,Water_XsiOp,h_hoog,h_laag,FictieveTaludHelling,JN(Bekleding_Toplaag_SlibJN),JNO(Bekleding_BovensteFilterlaag_SlibJNO),JN(Bekleding_Toplaag_AsfaltJN),RekenDikte)</f>
        <v>2.0734832286834717</v>
      </c>
      <c r="BS12" s="477" t="str">
        <f>StabToplaag_ToetsE_Score_Bepaal(StabToplaag_ToetsE_gt_verh,StabToplaag_ToetsE_to_verh,StabToplaag_ToetsE_type,JN(Bekleding_Toplaag_SlibJN),JNO(Bekleding_BovensteFilterlaag_SlibJNO),JN(Bekleding_Toplaag_AsfaltJN),Water_Hs,Water_Tp,FictieveTaludHelling,h_laag,h_hoog,Water_MaatgevendeWaterstand,Onder_Berm_Boven,Cw_Onvoldoende)</f>
        <v>Twijfelachtig</v>
      </c>
      <c r="BT12" s="529">
        <f>HsDeltaD_verh*Water_XsiOp^(2/3)</f>
        <v>3.532596739349597</v>
      </c>
      <c r="BU12" s="367" t="str">
        <f>IF(ISERROR(StabToplaag_ToetsG_BelastingEnSterkte_Verh_1),"Niet uitgevoerd",StabToplaag_ToetsG_Resultaat_Bepaal(StabToplaag_ToetsG_BelastingEnSterkte_Verh_1,StabToplaag_ToetsG_BelastingEnSterkte_Verh_2,StabToplaag_ToetsG_BelastingEnSterkte_Verh_3,StabToplaag_ToetsG_BelastingEnSterkte_Verh_4,Bekleding_Type_Toplaag,Bekleding_Type_Filters,Bekleding_BovensteFilterlaag_b,JN(Bekleding_AlsBermJN),JN(Bekleding_Toplaag_AsfaltJN),Bekleding_AfstandHouders_Ervaring,StabToplaag_ToetsG_Klemfactor_GoedTwijfel))</f>
        <v>Stabiel</v>
      </c>
      <c r="BV12" s="367" t="str">
        <f>IF(ISERROR(StabToplaag_ToetsG_BelastingEnSterkte_Verh_1),"Niet uitgevoerd",StabToplaag_ToetsG_Score_Bepaal(StabToplaag_ToetsG_BelastingEnSterkte_Verh_1,StabToplaag_ToetsG_BelastingEnSterkte_Verh_2,StabToplaag_ToetsG_BelastingEnSterkte_Verh_3,StabToplaag_ToetsG_BelastingEnSterkte_Verh_4,Bekleding_Type_Toplaag,Bekleding_Type_Filters,Bekleding_BovensteFilterlaag_b,JN(Bekleding_AlsBermJN),HsDeltaD_verh,Water_XsiOp,JN(Bekleding_Toplaag_AsfaltJN),Bekleding_AfstandHouders_Ervaring,StabToplaag_ToetsG_Klemfactor_GoedTwijfel,Cw_Onvoldoende))</f>
        <v>Goed</v>
      </c>
      <c r="BW12" s="438">
        <f>IF(ISERROR(StabToplaag_ToetsG_BelastingEnSterkte_Verh_1)," n.v.t.",iif((StabToplaag_ToetG_F&gt;6),"? (F&gt;6)",StabToplaag_ToetsG_Klemfactor_GoedTwijfel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1</v>
      </c>
      <c r="BX12" s="438">
        <f>IF(ISERROR(StabToplaag_ToetsG_BelastingEnSterkte_Verh_1)," n.v.t.",iif(+(StabToplaag_ToetG_F&gt;6),"? (F&gt;6)",StabToplaag_ToetsG_Klemfactor_TwijfelOnvoldoende_Bepaal(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Bekleding_Toplaag_Inwasmateriaal_D15/1000,Bekleding_Toplaag_Inwasmateriaal_Porositeit,JN(Bekleding_Toplaag_InwasJN),StabToplaag_ToetsG_factor,InvloedsfactorBerm)))</f>
        <v>1</v>
      </c>
      <c r="BY12" s="367" t="str">
        <f>StabToplaag_Score_Bepaal(StabToplaag_ToetsE_score,StabToplaag_ToetsG_Score,HsDeltaD_verh,Water_XsiOp,h_laag,Water_Toetspeil2000)</f>
        <v>Goed</v>
      </c>
      <c r="BZ12" s="435" t="str">
        <f>iif(AND(Bekleding_BovensteOvergangsconstructie&lt;&gt;"",OR(Bekleding_BovensteOvergangsconstructie="a",Bekleding_BovensteOvergangsconstructie="b",Bekleding_BovensteOvergangsconstructie="b1",Bekleding_BovensteOvergangsconstructie="b2",Bekleding_BovensteOvergangsconstructie="b3",Bekleding_BovensteOvergangsconstructie="b4")),"Goed","Geavanceerd")</f>
        <v>Goed</v>
      </c>
      <c r="CA12" s="487">
        <f>Reststerkte_Filterlaag_Bepaal(Water_Hs,Water_Tp,Water_Beta,HsDeltaD_verh,Water_XsiOp,Bekleding_BovensteFilterlaag_b,Bekleding_TweedeFilterlaag_b)</f>
        <v>0.5621989369392395</v>
      </c>
      <c r="CB12" s="366">
        <f>Reststerkte_Kleilaag_Bepaal(h_hoog,Bekleding_Klei_b,Water_GHW,Water_Hs,Bekleding_Klei_Kwaliteit,Klei_Dijkopbouw)</f>
        <v>0</v>
      </c>
      <c r="CC12" s="367" t="str">
        <f>Reststerkte_Score_Bepaal(Bekleding_Klei_b,Water_Stormduur,Reststerkte_Filterlaag,Reststerkte_Kleilaag)</f>
        <v>Onvoldoende</v>
      </c>
      <c r="CD12" s="368" t="str">
        <f>IF(ISERR(Afschuiving_Score)+ISERR(MatTransp_Score)+ISERR(StabToplaag_Score)+ISERR(Reststerkte_Score)=0,Eindscore_Bepaal(JNO(Bekleding_RuimteToplaagFilterJNO),Afschuiving_Score,MatTransp_Score,StabToplaag_Score,Reststerkte_Score,MatTransp_UitFilter_Score,Bovenste_OvergangsConstructie_Score,h_laag,Golfoploop,Water_MaatgevendeWaterstand),"FOUT")</f>
        <v>GOED</v>
      </c>
      <c r="CE12" s="534">
        <f>iif(h_laag&gt;=Water_MaatgevendeWaterstand,"n.v.t.",SQRT(2.3*9.8*Bekleding_Toplaag_Delta*Bekleding_Toplaag_D))</f>
        <v>3.787959067532876</v>
      </c>
      <c r="CF12" s="370"/>
      <c r="CG12" s="367">
        <f>VerschilTussenBeheersOordeelEnSteenToets(Eindscore,Beheerdersoordeel)</f>
      </c>
      <c r="CH12" s="431"/>
      <c r="CI12" s="441" t="str">
        <f>EindOordeel(Eindscore,Beheerdersoordeel)</f>
        <v>GOED</v>
      </c>
      <c r="CJ12" s="371"/>
      <c r="CK12" s="372" t="str">
        <f>IF(Bekleding_Hellingtalud_Invoer&lt;1/9,"Ja","Nee")</f>
        <v>Nee</v>
      </c>
      <c r="CL12" s="365">
        <f>iif(Bekleding_HellingOnderTalud_Invoer="",Bekleding_Hellingtalud_Invoer,Bekleding_HellingOnderTalud_Invoer)</f>
        <v>0.25</v>
      </c>
      <c r="CM12" s="365">
        <f>IF(Bekleding_Berm_NiveauVoorrand_invoer="",10,Bekleding_Berm_NiveauVoorrand_invoer)</f>
        <v>10</v>
      </c>
      <c r="CN12" s="365">
        <f>iif(Bekleding_HellingBovenTalud_Invoer="",Bekleding_Hellingtalud_Invoer,Bekleding_HellingBovenTalud_Invoer)</f>
        <v>0.25</v>
      </c>
      <c r="CO12" s="365">
        <f>Bekleding_CheckType(Bekleding_Type_Toplaag)</f>
        <v>0</v>
      </c>
      <c r="CP12" s="373" t="str">
        <f>IF(isLeeg(Bekleding_Type_Filters_Invoer)&lt;&gt;0,"st",Bekleding_Type_Filters_Invoer)</f>
        <v>st my ge</v>
      </c>
      <c r="CQ12" s="365">
        <f>IF(Bekleding_Toplaag_B_Invoer=0,IF(AND(26&lt;=Bekleding_Type_Toplaag,Bekleding_Type_Toplaag&lt;29),0.3,0),Bekleding_Toplaag_B_Invoer)</f>
        <v>0.2</v>
      </c>
      <c r="CR12" s="365">
        <f>IF(Bekleding_Toplaag_L_Invoer=0,IF(AND(26&lt;=Bekleding_Type_Toplaag,Bekleding_Type_Toplaag&lt;29),0.3,0),Bekleding_Toplaag_L_Invoer)</f>
        <v>0.5</v>
      </c>
      <c r="CS12" s="365">
        <f>IF(Bekleding_Toplaag_Spleetbreedte_Invoer=0,1000*Bekleding_Toplaag_Spleetbreedte_Bereken(Bekleding_Toplaag_B,Bekleding_Toplaag_L,Bekleding_Toplaag_OpenOpp_Relatief_Invoer/100),Bekleding_Toplaag_Spleetbreedte_Invoer)</f>
        <v>1</v>
      </c>
      <c r="CT12" s="365">
        <f>IF(Bekleding_Toplaag_OpenOpp_Relatief_Invoer=0,100*Bekleding_Toplaag_OpenOpp_Relatief_Bereken(Bekleding_Toplaag_B,Bekleding_Toplaag_L,Bekleding_Toplaag_Spleetbreedte_Invoer/1000),Bekleding_Toplaag_OpenOpp_Relatief_Invoer)</f>
        <v>1.7351055517792702</v>
      </c>
      <c r="CU12" s="365">
        <f>IF(isLeeg(Bekleding_Toplaag_SMassa_Invoer)&lt;&gt;0,HaalUitSheetAlgemeen(Bekleding_Type_Toplaag,"SMassa","Soortelijke massa"),Bekleding_Toplaag_SMassa_Invoer)</f>
        <v>2330</v>
      </c>
      <c r="CV12" s="365">
        <f>Bekleding_Toplaag_Delta_Bereken(Bekleding_Toplaag_SMassa)</f>
        <v>1.2731707096099854</v>
      </c>
      <c r="CW12" s="365">
        <f>IF(Bekleding_GeoTextiel1_O90_Invoer=0,10000,Bekleding_GeoTextiel1_O90_Invoer)</f>
        <v>10000</v>
      </c>
      <c r="CX12" s="372" t="str">
        <f>AsfaltJN(Bekleding_Type_Toplaag)</f>
        <v>Nee</v>
      </c>
      <c r="CY12" s="374">
        <f>IF(AND(0&lt;Bekleding_BovensteFilterlaag_b_Invoer,Bekleding_BovensteFilterlaag_b_Invoer&lt;MinimaleDikteFilterlaag),MinimaleDikteFilterlaag,Bekleding_BovensteFilterlaag_b_Invoer)</f>
        <v>0.05</v>
      </c>
      <c r="CZ12" s="365">
        <f>IF(Bekleding_BovensteFilterlaag_Porositeit_Invoer=0,Porositeit_Bepaal(Bekleding_Type_Filters_Invoer,1),Bekleding_BovensteFilterlaag_Porositeit_Invoer)</f>
        <v>0.35</v>
      </c>
      <c r="DA12" s="365">
        <f>IF(Bekleding_BovensteFilterlaag_D50_Invoer=0,1.2*Bekleding_BovensteFilterlaag_D15,Bekleding_BovensteFilterlaag_D50_Invoer)</f>
        <v>7</v>
      </c>
      <c r="DB12" s="373" t="str">
        <f>IF(Bekleding_TweedeFilterlaag_b_Invoer=0,"nee","ja")</f>
        <v>ja</v>
      </c>
      <c r="DC12" s="374">
        <f>IF(AND(0&lt;Bekleding_TweedeFilterlaag_b_Invoer,Bekleding_TweedeFilterlaag_b_Invoer&lt;MinimaleDikteFilterlaag),MinimaleDikteFilterlaag,Bekleding_TweedeFilterlaag_b_Invoer)</f>
        <v>0.85</v>
      </c>
      <c r="DD12" s="365">
        <f>IF(Bekleding_TweedeFilterlaag_Porositeit_Invoer=0,Porositeit_Bepaal(Bekleding_Type_Filters_Invoer,2),Bekleding_TweedeFilterlaag_Porositeit_Invoer)</f>
        <v>0.25</v>
      </c>
      <c r="DE12" s="365">
        <f>IF(Bekleding_TweedeFilterlaag_D50_Invoer=0,1.2*Bekleding_TweedeFilterlaag_D15,Bekleding_TweedeFilterlaag_D50_Invoer)</f>
        <v>30</v>
      </c>
      <c r="DF12" s="365">
        <f>IF(Bekleding_Ondergrond_D90_Invoer=0,Bekleding_Ondergrond_D50*1.2,Bekleding_Ondergrond_D90_Invoer)</f>
        <v>0.32</v>
      </c>
      <c r="DG12" s="365">
        <f>IF(Bekleding_Ondergrond_D50_Invoer=0,0.13,Bekleding_Ondergrond_D50_Invoer)</f>
        <v>0.24</v>
      </c>
      <c r="DH12" s="365">
        <f>IF(Bekleding_Ondergrond_D15_Invoer=0,Bekleding_Ondergrond_D50/1.4,Bekleding_Ondergrond_D15_Invoer)</f>
        <v>0.2</v>
      </c>
      <c r="DI12" s="365">
        <f>IF(Bekleding_Geotextiel2_O90_Invoer=0,10000,Bekleding_Geotextiel2_O90_Invoer)</f>
        <v>0.17</v>
      </c>
      <c r="DJ12" s="372" t="str">
        <f>IF(Bekleding_Geotextiel2_O90=10000,"nee","ja")</f>
        <v>ja</v>
      </c>
      <c r="DK12" s="365">
        <f>IF(Water_Stormduur_Invoer=0,48,Water_Stormduur_Invoer)</f>
        <v>10</v>
      </c>
      <c r="DL12" s="375"/>
      <c r="DM12" s="365">
        <f>IF(JN(Bekleding_Geotextiel2_Aanwezig),Bekleding_Geotextiel2_O90,Bekleding_GeoTextiel1_O90)</f>
        <v>0.17</v>
      </c>
      <c r="DN12" s="365">
        <f>IF(JN(Bekleding_TweedeFilterlaag_Aanwezig),Bekleding_TweedeFilterlaag_D15,Bekleding_BovensteFilterlaag_D15)</f>
        <v>2</v>
      </c>
      <c r="DO12" s="365">
        <f>IF(JN(Bekleding_TweedeFilterlaag_Aanwezig),Bekleding_TweedeFilterlaag_D50,Bekleding_BovensteFilterlaag_D50)</f>
        <v>30</v>
      </c>
      <c r="DP12" s="369">
        <f>InvloedsfactorBerm_Bereken(Onder_Berm_Boven,Water_Hs,Water_MaatgevendeWaterstand,Bekleding_Berm_NiveauVoorrand,Water_Tp,Bekleding_Berm_OnderTalud,Bekleding_Bermbreedte)</f>
        <v>1</v>
      </c>
      <c r="DQ12" s="376">
        <f>InvloedsFactorBerm2_Bereken(h_laag,Water_MaatgevendeWaterstand,Bekleding_Toplaag_D,Onder_Berm_Boven,Bekleding_Bermbreedte,Bekleding_Berm_NiveauVoorrand,BermHelling,Water_Hs,InvloedsfactorBerm,Fictieve_Onder_Berm_Boven)</f>
        <v>1</v>
      </c>
      <c r="DR12" s="481">
        <f>FictieveTaludHelling_Bereken(Onder_Berm_Boven,Bekleding_Berm_OnderTalud,Bekleding_HellingBovenTalud,Bekleding_Hellingtalud_Invoer,Water_Hs,h_laag,h_hoog,Water_MaatgevendeWaterstand,Bekleding_Berm_NiveauVoorrand)</f>
        <v>0.25</v>
      </c>
      <c r="DS12" s="376" t="str">
        <f>Onder_Berm_Boven_Bereken(BermHelling,h_laag,h_hoog,Bekleding_Berm_NiveauVoorrand,Bekleding_Hellingtalud_Invoer,Bekleding_Berm_OnderTalud,Bekleding_HellingBovenTalud,Bekleding_Bermbreedte,ROW())</f>
        <v>Onderbeloop</v>
      </c>
      <c r="DT12" s="365" t="str">
        <f>Fictieve_Onder_Berm_Boven_Bereken(SubVakgrenzen_Van,SubVakgrenzen_Tot,Water_TabelIndex,Onder_Berm_Boven,Bekleding_Hellingtalud_Invoer,Bekleding_Berm_OnderTalud,Bekleding_HellingBovenTalud,Bekleding_Berm_NiveauVoorrand,h_laag,h_hoog,Water_Toetspeil2000,Bekleding_Bermbreedte,Bekleding_Toplaag_D)</f>
        <v>Onderbeloop</v>
      </c>
      <c r="DU12" s="376">
        <f>RekenDikte_Bereken(h_laag,Water_MaatgevendeWaterstand,Bekleding_Toplaag_D,Onder_Berm_Boven,Bekleding_Bermbreedte,Bekleding_Berm_NiveauVoorrand,BermHelling,Water_Hs,InvloedsfactorBerm,Fictieve_Onder_Berm_Boven)</f>
        <v>0.5</v>
      </c>
      <c r="DV12" s="376">
        <f>Cw_Onvoldoende_Bereken(h_laag,Water_MaatgevendeWaterstand,Bekleding_Toplaag_D,Onder_Berm_Boven,Bekleding_Bermbreedte,Bekleding_Berm_NiveauVoorrand,BermHelling,Water_Hs,InvloedsfactorBerm,Fictieve_Onder_Berm_Boven)</f>
        <v>1</v>
      </c>
      <c r="DW12" s="376">
        <f>Golfoploop_Bereken(Water_MaatgevendeWaterstand,Bekleding_Berm_NiveauVoorrand,Water_Hs,FictieveTaludHelling,Bekleding_HellingBovenTalud,Bekleding_Hellingtalud_Invoer,Water_XsiOp,Bekleding_Bermbreedte)</f>
        <v>3.798907995223999</v>
      </c>
      <c r="DX12" s="376">
        <f>StabToplaag_ToetsG_Leklengte(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0.9180083870887756</v>
      </c>
      <c r="DY12" s="376">
        <f>StabToplaag_ToetsG_A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215.60450744628906</v>
      </c>
      <c r="DZ12" s="376">
        <f>StabToplaag_ToetsG_Bt(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Bekleding_Toplaag_Inklemfactor,Bekleding_Toplaag_Inwasmateriaal_D15/1000,Bekleding_Toplaag_Inwasmateriaal_Porositeit,JN("Nee"),InvloedsfactorBerm)</f>
        <v>10948.490234375</v>
      </c>
      <c r="EA12" s="376">
        <f>Bekleding_Toplaag_Inklemfactor_Bepaal(Bekleding_Type_Toplaag,JNO(Bekleding_Toplaag_GoedGeklemdJNO))</f>
        <v>1</v>
      </c>
      <c r="EB12" s="376" t="str">
        <f>IF((StabToplaag_ToetG_Score="n.v.t.")+(StabToplaag_ToetG_Score="Niet uitgevoerd")+(StabToplaag_ToetG_F&gt;6),"n.v.t.",KlemfactorScore(Bekleding_Toplaag_Inklemfactor,StabToplaag_ToetsG_Klemfactor_TwijfelOnvoldoende,StabToplaag_ToetsG_Klemfactor_GoedTwijfel))</f>
        <v>Goed</v>
      </c>
      <c r="EC12" s="365">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Water_Hs,Water_Tp,ROW(),JN(Bekleding_AlsBermJN),JN("Nee"),1,Bekleding_Toplaag_Inwasmateriaal_D15/1000,Bekleding_Toplaag_Inwasmateriaal_Porositeit,JN("Nee"),InvloedsfactorBerm)</f>
        <v>0.7648220658302307</v>
      </c>
      <c r="ED12" s="365">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Water_Hs,Water_Tp,0,JN(Bekleding_AlsBermJN),JN("Nee"),1,Bekleding_Toplaag_Inwasmateriaal_D15/1000,Bekleding_Toplaag_Inwasmateriaal_Porositeit,JN("Nee"),InvloedsfactorBerm)</f>
        <v>0.5570507645606995</v>
      </c>
      <c r="EE12" s="377">
        <f>StabToplaag_ToetsG_BelastingEnSterkte_Verh_Bereken(FictieveTaludHelling,RekenDikte,Bekleding_Toplaag_B,Bekleding_Toplaag_L,Bekleding_Toplaag_Spleetbreedte/1000,StabToplaag_ToetsG_factor*Bekleding_Toplaag_Delta,Bekleding_BovensteFilterlaag_b,Bekleding_BovensteFilterlaag_D15/1000,Bekleding_BovensteFilterlaag_Porositeit,Bekleding_TweedeFilterlaag_b,Bekleding_TweedeFilterlaag_D15/1000,Bekleding_TweedeFilterlaag_Porositeit,1.4*Water_Hs,Water_Tp,ROW(),JN(Bekleding_AlsBermJN),JN("Ja"),1,Bekleding_Toplaag_Inwasmateriaal_D15/1000,Bekleding_Toplaag_Inwasmateriaal_Porositeit,JN("Nee"),InvloedsfactorBerm)</f>
        <v>0.574169933795929</v>
      </c>
      <c r="EF12" s="377">
        <f>StabToplaag_ToetsG_BelastingEnSterkte_Verh_Bereken(FictieveTaludHelling,1.5*RekenDikte,Bekleding_Toplaag_B,Bekleding_Toplaag_L,Bekleding_Toplaag_Spleetbreedte/1000,Bekleding_Toplaag_Delta,Bekleding_BovensteFilterlaag_b,Bekleding_BovensteFilterlaag_D15/1000,Bekleding_BovensteFilterlaag_Porositeit,Bekleding_TweedeFilterlaag_b,Bekleding_TweedeFilterlaag_D15/1000,Bekleding_TweedeFilterlaag_Porositeit,1.4*Water_Hs,Water_Tp,0,JN(Bekleding_AlsBermJN),JN("Ja"),1,Bekleding_Toplaag_Inwasmateriaal_D15/1000,Bekleding_Toplaag_Inwasmateriaal_Porositeit,JN("Nee"),InvloedsfactorBerm)</f>
        <v>0.39718037843704224</v>
      </c>
      <c r="EG12" s="378">
        <v>1</v>
      </c>
    </row>
  </sheetData>
  <sheetProtection sheet="1" objects="1" scenarios="1"/>
  <mergeCells count="12">
    <mergeCell ref="BM4:BY4"/>
    <mergeCell ref="BK4:BL4"/>
    <mergeCell ref="AW4:AZ4"/>
    <mergeCell ref="Z5:AA5"/>
    <mergeCell ref="AD4:AH4"/>
    <mergeCell ref="AW5:AX5"/>
    <mergeCell ref="BG5:BH5"/>
    <mergeCell ref="J4:K4"/>
    <mergeCell ref="R4:AC4"/>
    <mergeCell ref="AI4:AL4"/>
    <mergeCell ref="AS4:AU4"/>
    <mergeCell ref="AN4:AR4"/>
  </mergeCells>
  <printOptions headings="1" horizontalCentered="1" verticalCentered="1"/>
  <pageMargins left="0.15748031496062992" right="0.15748031496062992" top="0.36" bottom="0.46" header="0.2362204724409449" footer="0.33"/>
  <pageSetup fitToHeight="9" fitToWidth="2" horizontalDpi="300" verticalDpi="300" orientation="landscape" pageOrder="overThenDown" paperSize="9" scale="70" r:id="rId1"/>
  <headerFooter alignWithMargins="0">
    <oddFooter>&amp;L&amp;8&amp;F&amp;Cpagina &amp;P van &amp;N&amp;R&amp;8&amp;D; &amp;T</oddFooter>
  </headerFooter>
</worksheet>
</file>

<file path=xl/worksheets/sheet10.xml><?xml version="1.0" encoding="utf-8"?>
<worksheet xmlns="http://schemas.openxmlformats.org/spreadsheetml/2006/main" xmlns:r="http://schemas.openxmlformats.org/officeDocument/2006/relationships">
  <sheetPr codeName="Sheet9"/>
  <dimension ref="A1:A1"/>
  <sheetViews>
    <sheetView workbookViewId="0" topLeftCell="A1">
      <selection activeCell="B23" sqref="B23"/>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D233"/>
  <sheetViews>
    <sheetView showGridLines="0" zoomScale="75" zoomScaleNormal="75" workbookViewId="0" topLeftCell="A1">
      <selection activeCell="N13" sqref="N13"/>
    </sheetView>
  </sheetViews>
  <sheetFormatPr defaultColWidth="9.140625" defaultRowHeight="12.75"/>
  <cols>
    <col min="1" max="1" width="2.00390625" style="0" customWidth="1"/>
    <col min="2" max="3" width="9.140625" style="150" customWidth="1"/>
    <col min="5" max="5" width="8.57421875" style="0" customWidth="1"/>
    <col min="6" max="11" width="8.28125" style="0" customWidth="1"/>
    <col min="12" max="13" width="8.28125" style="138" customWidth="1"/>
    <col min="14" max="19" width="8.28125" style="0" customWidth="1"/>
    <col min="20" max="21" width="8.28125" style="138" customWidth="1"/>
    <col min="22" max="27" width="8.28125" style="0" customWidth="1"/>
    <col min="28" max="29" width="8.28125" style="138" customWidth="1"/>
    <col min="30" max="30" width="8.28125" style="0" customWidth="1"/>
  </cols>
  <sheetData>
    <row r="1" spans="2:30" ht="20.25">
      <c r="B1" s="149" t="s">
        <v>161</v>
      </c>
      <c r="D1" s="74"/>
      <c r="E1" s="74"/>
      <c r="F1" s="74"/>
      <c r="G1" s="74"/>
      <c r="H1" s="74"/>
      <c r="I1" s="74"/>
      <c r="J1" s="74"/>
      <c r="K1" s="74"/>
      <c r="N1" s="74"/>
      <c r="O1" s="74"/>
      <c r="P1" s="74"/>
      <c r="Q1" s="74"/>
      <c r="R1" s="74"/>
      <c r="S1" s="74"/>
      <c r="V1" s="74"/>
      <c r="W1" s="74"/>
      <c r="X1" s="74"/>
      <c r="Y1" s="74"/>
      <c r="Z1" s="74"/>
      <c r="AA1" s="74"/>
      <c r="AD1" s="74"/>
    </row>
    <row r="2" spans="2:30" ht="12.75">
      <c r="B2" s="198" t="s">
        <v>162</v>
      </c>
      <c r="D2" s="74"/>
      <c r="E2" s="74"/>
      <c r="F2" s="74"/>
      <c r="G2" s="74"/>
      <c r="H2" s="74"/>
      <c r="I2" s="74"/>
      <c r="J2" s="74"/>
      <c r="K2" s="74"/>
      <c r="N2" s="74"/>
      <c r="O2" s="74"/>
      <c r="P2" s="74"/>
      <c r="Q2" s="74"/>
      <c r="R2" s="74"/>
      <c r="S2" s="74"/>
      <c r="V2" s="74"/>
      <c r="W2" s="74"/>
      <c r="X2" s="74"/>
      <c r="Y2" s="74"/>
      <c r="Z2" s="74"/>
      <c r="AA2" s="74"/>
      <c r="AD2" s="74"/>
    </row>
    <row r="3" spans="2:30" ht="12.75">
      <c r="B3" s="198" t="s">
        <v>406</v>
      </c>
      <c r="D3" s="74"/>
      <c r="E3" s="74"/>
      <c r="F3" s="74"/>
      <c r="G3" s="74"/>
      <c r="H3" s="74"/>
      <c r="I3" s="74"/>
      <c r="J3" s="74"/>
      <c r="K3" s="74"/>
      <c r="N3" s="74"/>
      <c r="O3" s="74"/>
      <c r="P3" s="74"/>
      <c r="Q3" s="74"/>
      <c r="R3" s="74"/>
      <c r="S3" s="74"/>
      <c r="V3" s="74"/>
      <c r="W3" s="74"/>
      <c r="X3" s="74"/>
      <c r="Y3" s="74"/>
      <c r="Z3" s="74"/>
      <c r="AA3" s="74"/>
      <c r="AD3" s="74"/>
    </row>
    <row r="4" spans="2:30" ht="12.75">
      <c r="B4" s="150" t="s">
        <v>1</v>
      </c>
      <c r="C4" s="150" t="s">
        <v>1</v>
      </c>
      <c r="D4" s="74"/>
      <c r="E4" s="74"/>
      <c r="F4" s="74"/>
      <c r="G4" s="74"/>
      <c r="H4" s="74"/>
      <c r="I4" s="74"/>
      <c r="J4" s="74"/>
      <c r="K4" s="74"/>
      <c r="N4" s="74"/>
      <c r="O4" s="74"/>
      <c r="P4" s="74"/>
      <c r="Q4" s="74"/>
      <c r="R4" s="74"/>
      <c r="S4" s="74"/>
      <c r="V4" s="74"/>
      <c r="W4" s="74"/>
      <c r="X4" s="74"/>
      <c r="Y4" s="74"/>
      <c r="Z4" s="74"/>
      <c r="AA4" s="74"/>
      <c r="AD4" s="74"/>
    </row>
    <row r="5" spans="2:30" ht="12.75" hidden="1">
      <c r="B5" s="151" t="s">
        <v>163</v>
      </c>
      <c r="C5" s="152"/>
      <c r="D5" s="75"/>
      <c r="E5" s="75"/>
      <c r="F5" s="75"/>
      <c r="G5" s="75"/>
      <c r="H5" s="77" t="s">
        <v>74</v>
      </c>
      <c r="I5" s="74"/>
      <c r="J5" s="74"/>
      <c r="K5" s="74"/>
      <c r="L5" s="139"/>
      <c r="M5" s="139"/>
      <c r="N5" s="75"/>
      <c r="O5" s="75"/>
      <c r="P5" s="77" t="s">
        <v>74</v>
      </c>
      <c r="Q5" s="74"/>
      <c r="R5" s="74"/>
      <c r="S5" s="74"/>
      <c r="T5" s="139"/>
      <c r="U5" s="139"/>
      <c r="V5" s="75"/>
      <c r="W5" s="75"/>
      <c r="X5" s="77" t="s">
        <v>74</v>
      </c>
      <c r="Y5" s="74"/>
      <c r="Z5" s="74"/>
      <c r="AA5" s="74"/>
      <c r="AB5" s="139"/>
      <c r="AC5" s="139"/>
      <c r="AD5" s="75"/>
    </row>
    <row r="6" spans="2:30" ht="12.75" hidden="1">
      <c r="B6" s="151" t="s">
        <v>75</v>
      </c>
      <c r="C6" s="152"/>
      <c r="D6" s="75"/>
      <c r="E6" s="75"/>
      <c r="F6" s="75"/>
      <c r="G6" s="75"/>
      <c r="H6" s="77" t="s">
        <v>75</v>
      </c>
      <c r="I6" s="74"/>
      <c r="J6" s="74"/>
      <c r="K6" s="74"/>
      <c r="L6" s="139"/>
      <c r="M6" s="139"/>
      <c r="N6" s="75"/>
      <c r="O6" s="75"/>
      <c r="P6" s="77" t="s">
        <v>75</v>
      </c>
      <c r="Q6" s="74"/>
      <c r="R6" s="74"/>
      <c r="S6" s="74"/>
      <c r="T6" s="139"/>
      <c r="U6" s="139"/>
      <c r="V6" s="75"/>
      <c r="W6" s="75"/>
      <c r="X6" s="77" t="s">
        <v>75</v>
      </c>
      <c r="Y6" s="74"/>
      <c r="Z6" s="74"/>
      <c r="AA6" s="74"/>
      <c r="AB6" s="139"/>
      <c r="AC6" s="139"/>
      <c r="AD6" s="75"/>
    </row>
    <row r="7" spans="2:30" ht="12.75" hidden="1">
      <c r="B7" s="153" t="s">
        <v>164</v>
      </c>
      <c r="C7" s="154"/>
      <c r="D7" s="76"/>
      <c r="E7" s="76"/>
      <c r="F7" s="76"/>
      <c r="G7" s="76"/>
      <c r="H7" s="78" t="s">
        <v>165</v>
      </c>
      <c r="I7" s="74"/>
      <c r="J7" s="74"/>
      <c r="K7" s="74"/>
      <c r="L7" s="140"/>
      <c r="M7" s="140"/>
      <c r="N7" s="76"/>
      <c r="O7" s="76"/>
      <c r="P7" s="78" t="s">
        <v>165</v>
      </c>
      <c r="Q7" s="74"/>
      <c r="R7" s="74"/>
      <c r="S7" s="74"/>
      <c r="T7" s="140"/>
      <c r="U7" s="140"/>
      <c r="V7" s="76"/>
      <c r="W7" s="76"/>
      <c r="X7" s="78" t="s">
        <v>165</v>
      </c>
      <c r="Y7" s="74"/>
      <c r="Z7" s="74"/>
      <c r="AA7" s="74"/>
      <c r="AB7" s="140"/>
      <c r="AC7" s="140"/>
      <c r="AD7" s="76"/>
    </row>
    <row r="8" spans="2:30" ht="13.5" thickBot="1">
      <c r="B8" s="150" t="s">
        <v>1</v>
      </c>
      <c r="C8" s="150" t="s">
        <v>166</v>
      </c>
      <c r="D8" s="74"/>
      <c r="E8" s="74"/>
      <c r="F8" s="74" t="s">
        <v>507</v>
      </c>
      <c r="G8" s="74"/>
      <c r="H8" s="79"/>
      <c r="I8" s="74"/>
      <c r="J8" s="74"/>
      <c r="K8" s="74"/>
      <c r="N8" s="74"/>
      <c r="O8" s="74"/>
      <c r="P8" s="79"/>
      <c r="Q8" s="74"/>
      <c r="R8" s="74"/>
      <c r="S8" s="74"/>
      <c r="V8" s="74"/>
      <c r="W8" s="74"/>
      <c r="X8" s="79"/>
      <c r="Y8" s="74"/>
      <c r="Z8" s="74"/>
      <c r="AA8" s="74"/>
      <c r="AD8" s="74"/>
    </row>
    <row r="9" spans="2:30" ht="13.5" thickBot="1">
      <c r="B9" s="150" t="s">
        <v>1</v>
      </c>
      <c r="C9" s="150" t="s">
        <v>1</v>
      </c>
      <c r="D9" s="74"/>
      <c r="E9" s="74"/>
      <c r="F9" s="191"/>
      <c r="G9" s="192"/>
      <c r="H9" s="192" t="s">
        <v>167</v>
      </c>
      <c r="I9" s="192"/>
      <c r="J9" s="192"/>
      <c r="K9" s="192"/>
      <c r="L9" s="540"/>
      <c r="M9" s="540"/>
      <c r="N9" s="541"/>
      <c r="O9" s="542"/>
      <c r="P9" s="542" t="s">
        <v>168</v>
      </c>
      <c r="Q9" s="542"/>
      <c r="R9" s="542"/>
      <c r="S9" s="542"/>
      <c r="T9" s="540"/>
      <c r="U9" s="540"/>
      <c r="V9" s="541"/>
      <c r="W9" s="542"/>
      <c r="X9" s="542" t="s">
        <v>169</v>
      </c>
      <c r="Y9" s="542"/>
      <c r="Z9" s="542"/>
      <c r="AA9" s="542"/>
      <c r="AB9" s="540"/>
      <c r="AC9" s="543"/>
      <c r="AD9" s="544"/>
    </row>
    <row r="10" spans="2:30" ht="12" customHeight="1">
      <c r="B10" s="155" t="s">
        <v>170</v>
      </c>
      <c r="C10" s="156"/>
      <c r="D10" s="144" t="s">
        <v>72</v>
      </c>
      <c r="E10" s="132" t="s">
        <v>171</v>
      </c>
      <c r="F10" s="133" t="s">
        <v>172</v>
      </c>
      <c r="G10" s="501">
        <v>2</v>
      </c>
      <c r="H10" s="134" t="s">
        <v>172</v>
      </c>
      <c r="I10" s="501">
        <v>4</v>
      </c>
      <c r="J10" s="134" t="s">
        <v>172</v>
      </c>
      <c r="K10" s="501">
        <v>6</v>
      </c>
      <c r="L10" s="545" t="s">
        <v>173</v>
      </c>
      <c r="M10" s="546"/>
      <c r="N10" s="547" t="s">
        <v>172</v>
      </c>
      <c r="O10" s="548">
        <f>hoogte1</f>
        <v>2</v>
      </c>
      <c r="P10" s="549" t="s">
        <v>172</v>
      </c>
      <c r="Q10" s="548">
        <f>hoogte2</f>
        <v>4</v>
      </c>
      <c r="R10" s="549" t="s">
        <v>172</v>
      </c>
      <c r="S10" s="548">
        <f>hoogte3</f>
        <v>6</v>
      </c>
      <c r="T10" s="545" t="s">
        <v>173</v>
      </c>
      <c r="U10" s="546"/>
      <c r="V10" s="547" t="s">
        <v>172</v>
      </c>
      <c r="W10" s="548">
        <f>hoogte1</f>
        <v>2</v>
      </c>
      <c r="X10" s="549" t="s">
        <v>172</v>
      </c>
      <c r="Y10" s="548">
        <f>hoogte2</f>
        <v>4</v>
      </c>
      <c r="Z10" s="549" t="s">
        <v>172</v>
      </c>
      <c r="AA10" s="548">
        <f>hoogte3</f>
        <v>6</v>
      </c>
      <c r="AB10" s="545" t="s">
        <v>173</v>
      </c>
      <c r="AC10" s="546"/>
      <c r="AD10" s="550" t="s">
        <v>174</v>
      </c>
    </row>
    <row r="11" spans="2:30" ht="13.5" thickBot="1">
      <c r="B11" s="157" t="s">
        <v>139</v>
      </c>
      <c r="C11" s="158" t="s">
        <v>140</v>
      </c>
      <c r="D11" s="137" t="s">
        <v>129</v>
      </c>
      <c r="E11" s="136" t="s">
        <v>121</v>
      </c>
      <c r="F11" s="137" t="s">
        <v>175</v>
      </c>
      <c r="G11" s="135" t="s">
        <v>176</v>
      </c>
      <c r="H11" s="137" t="s">
        <v>175</v>
      </c>
      <c r="I11" s="135" t="s">
        <v>176</v>
      </c>
      <c r="J11" s="137" t="s">
        <v>175</v>
      </c>
      <c r="K11" s="135" t="s">
        <v>176</v>
      </c>
      <c r="L11" s="551" t="s">
        <v>177</v>
      </c>
      <c r="M11" s="552" t="s">
        <v>178</v>
      </c>
      <c r="N11" s="553" t="s">
        <v>175</v>
      </c>
      <c r="O11" s="554" t="s">
        <v>176</v>
      </c>
      <c r="P11" s="553" t="s">
        <v>175</v>
      </c>
      <c r="Q11" s="554" t="s">
        <v>176</v>
      </c>
      <c r="R11" s="553" t="s">
        <v>175</v>
      </c>
      <c r="S11" s="554" t="s">
        <v>176</v>
      </c>
      <c r="T11" s="551" t="s">
        <v>177</v>
      </c>
      <c r="U11" s="552" t="s">
        <v>178</v>
      </c>
      <c r="V11" s="553" t="s">
        <v>175</v>
      </c>
      <c r="W11" s="554" t="s">
        <v>176</v>
      </c>
      <c r="X11" s="553" t="s">
        <v>175</v>
      </c>
      <c r="Y11" s="554" t="s">
        <v>176</v>
      </c>
      <c r="Z11" s="553" t="s">
        <v>175</v>
      </c>
      <c r="AA11" s="554" t="s">
        <v>176</v>
      </c>
      <c r="AB11" s="551" t="s">
        <v>177</v>
      </c>
      <c r="AC11" s="552" t="s">
        <v>178</v>
      </c>
      <c r="AD11" s="555" t="s">
        <v>175</v>
      </c>
    </row>
    <row r="12" spans="2:30" s="74" customFormat="1" ht="12.75" hidden="1">
      <c r="B12" s="159"/>
      <c r="C12" s="160" t="s">
        <v>179</v>
      </c>
      <c r="D12" s="81"/>
      <c r="E12" s="82"/>
      <c r="F12" s="80" t="s">
        <v>506</v>
      </c>
      <c r="G12" s="80" t="str">
        <f>CONCATENATE("_",Tp_Naam,"__",hoogte1)</f>
        <v>_Tp__2</v>
      </c>
      <c r="H12" s="80" t="str">
        <f>CONCATENATE("_",Hs_Naam,"__",hoogte2)</f>
        <v>_Hs__4</v>
      </c>
      <c r="I12" s="80" t="str">
        <f>CONCATENATE("_",Tp_Naam,"__",hoogte2)</f>
        <v>_Tp__4</v>
      </c>
      <c r="J12" s="80" t="str">
        <f>CONCATENATE("_",Hs_Naam,"__",hoogte3)</f>
        <v>_Hs__6</v>
      </c>
      <c r="K12" s="80" t="str">
        <f>CONCATENATE("_",Tp_Naam,"__",hoogte3)</f>
        <v>_Tp__6</v>
      </c>
      <c r="L12" s="141"/>
      <c r="M12" s="141"/>
      <c r="N12" s="80" t="str">
        <f>CONCATENATE("_",Hs_Naam,"__",hoogte1)</f>
        <v>_Hs__2</v>
      </c>
      <c r="O12" s="80" t="str">
        <f>CONCATENATE("_",Tp_Naam,"__",hoogte1)</f>
        <v>_Tp__2</v>
      </c>
      <c r="P12" s="80" t="str">
        <f>CONCATENATE("_",Hs_Naam,"__",hoogte2)</f>
        <v>_Hs__4</v>
      </c>
      <c r="Q12" s="80" t="str">
        <f>CONCATENATE("_",Tp_Naam,"__",hoogte2)</f>
        <v>_Tp__4</v>
      </c>
      <c r="R12" s="80" t="str">
        <f>CONCATENATE("_",Hs_Naam,"__",hoogte3)</f>
        <v>_Hs__6</v>
      </c>
      <c r="S12" s="80" t="str">
        <f>CONCATENATE("_",Tp_Naam,"__",hoogte3)</f>
        <v>_Tp__6</v>
      </c>
      <c r="T12" s="141"/>
      <c r="U12" s="141"/>
      <c r="V12" s="80" t="str">
        <f>CONCATENATE("_",Hs_Naam,"__",hoogte1)</f>
        <v>_Hs__2</v>
      </c>
      <c r="W12" s="80" t="str">
        <f>CONCATENATE("_",Tp_Naam,"__",hoogte1)</f>
        <v>_Tp__2</v>
      </c>
      <c r="X12" s="80" t="str">
        <f>CONCATENATE("_",Hs_Naam,"__",hoogte2)</f>
        <v>_Hs__4</v>
      </c>
      <c r="Y12" s="80" t="str">
        <f>CONCATENATE("_",Tp_Naam,"__",hoogte2)</f>
        <v>_Tp__4</v>
      </c>
      <c r="Z12" s="80" t="str">
        <f>CONCATENATE("_",Hs_Naam,"__",hoogte3)</f>
        <v>_Hs__6</v>
      </c>
      <c r="AA12" s="80" t="str">
        <f>CONCATENATE("_",Tp_Naam,"__",hoogte3)</f>
        <v>_Tp__6</v>
      </c>
      <c r="AB12" s="141"/>
      <c r="AC12" s="141"/>
      <c r="AD12" s="82"/>
    </row>
    <row r="13" spans="1:30" ht="12.75">
      <c r="A13" s="73"/>
      <c r="B13" s="161">
        <v>40</v>
      </c>
      <c r="C13" s="162">
        <v>46</v>
      </c>
      <c r="D13" s="145">
        <v>2</v>
      </c>
      <c r="E13" s="84">
        <v>6</v>
      </c>
      <c r="F13" s="145">
        <v>2.7</v>
      </c>
      <c r="G13" s="84">
        <v>6.8</v>
      </c>
      <c r="H13" s="145">
        <v>3.1</v>
      </c>
      <c r="I13" s="84">
        <v>7.5</v>
      </c>
      <c r="J13" s="145">
        <v>3.4</v>
      </c>
      <c r="K13" s="84">
        <v>8.2</v>
      </c>
      <c r="L13" s="147">
        <v>0</v>
      </c>
      <c r="M13" s="142">
        <v>0</v>
      </c>
      <c r="N13" s="145">
        <v>2.7</v>
      </c>
      <c r="O13" s="84">
        <v>6.8</v>
      </c>
      <c r="P13" s="145">
        <v>3.1</v>
      </c>
      <c r="Q13" s="84">
        <v>7.5</v>
      </c>
      <c r="R13" s="145">
        <v>3.4</v>
      </c>
      <c r="S13" s="84">
        <v>8.2</v>
      </c>
      <c r="T13" s="147">
        <v>0</v>
      </c>
      <c r="U13" s="142">
        <v>0</v>
      </c>
      <c r="V13" s="145">
        <v>2.7</v>
      </c>
      <c r="W13" s="84">
        <v>6.8</v>
      </c>
      <c r="X13" s="145">
        <v>3.1</v>
      </c>
      <c r="Y13" s="84">
        <v>7.5</v>
      </c>
      <c r="Z13" s="145">
        <v>3.4</v>
      </c>
      <c r="AA13" s="84">
        <v>8.2</v>
      </c>
      <c r="AB13" s="147">
        <v>0</v>
      </c>
      <c r="AC13" s="142">
        <v>0</v>
      </c>
      <c r="AD13" s="83">
        <v>0.5</v>
      </c>
    </row>
    <row r="14" spans="1:30" ht="12.75">
      <c r="A14" s="73"/>
      <c r="B14" s="163">
        <v>46</v>
      </c>
      <c r="C14" s="164">
        <v>51</v>
      </c>
      <c r="D14" s="145">
        <v>2</v>
      </c>
      <c r="E14" s="84">
        <v>6</v>
      </c>
      <c r="F14" s="145">
        <v>1</v>
      </c>
      <c r="G14" s="84">
        <v>6.8</v>
      </c>
      <c r="H14" s="145">
        <v>1.9</v>
      </c>
      <c r="I14" s="84">
        <v>7.5</v>
      </c>
      <c r="J14" s="145">
        <v>2.7</v>
      </c>
      <c r="K14" s="84">
        <v>8.2</v>
      </c>
      <c r="L14" s="147">
        <v>0</v>
      </c>
      <c r="M14" s="142">
        <v>0</v>
      </c>
      <c r="N14" s="145">
        <v>1</v>
      </c>
      <c r="O14" s="84">
        <v>6.8</v>
      </c>
      <c r="P14" s="145">
        <v>1.9</v>
      </c>
      <c r="Q14" s="84">
        <v>7.5</v>
      </c>
      <c r="R14" s="145">
        <v>2.7</v>
      </c>
      <c r="S14" s="84">
        <v>8.2</v>
      </c>
      <c r="T14" s="147">
        <v>0</v>
      </c>
      <c r="U14" s="142">
        <v>0</v>
      </c>
      <c r="V14" s="145">
        <v>1</v>
      </c>
      <c r="W14" s="84">
        <v>6.8</v>
      </c>
      <c r="X14" s="145">
        <v>1.9</v>
      </c>
      <c r="Y14" s="84">
        <v>7.5</v>
      </c>
      <c r="Z14" s="145">
        <v>2.7</v>
      </c>
      <c r="AA14" s="84">
        <v>8.2</v>
      </c>
      <c r="AB14" s="147">
        <v>0</v>
      </c>
      <c r="AC14" s="142">
        <v>0</v>
      </c>
      <c r="AD14" s="83">
        <v>0.5</v>
      </c>
    </row>
    <row r="15" spans="1:30" ht="12.75">
      <c r="A15" s="73"/>
      <c r="B15" s="161">
        <v>100</v>
      </c>
      <c r="C15" s="84">
        <v>101</v>
      </c>
      <c r="D15" s="145">
        <v>2.2</v>
      </c>
      <c r="E15" s="84">
        <v>4.7</v>
      </c>
      <c r="F15" s="145">
        <v>2.1</v>
      </c>
      <c r="G15" s="84">
        <v>7.5</v>
      </c>
      <c r="H15" s="145">
        <v>2.62</v>
      </c>
      <c r="I15" s="84">
        <v>7.7</v>
      </c>
      <c r="J15" s="145">
        <v>2.62</v>
      </c>
      <c r="K15" s="84">
        <v>7.7</v>
      </c>
      <c r="L15" s="147">
        <v>80</v>
      </c>
      <c r="M15" s="142">
        <v>120</v>
      </c>
      <c r="N15" s="145">
        <v>2.1</v>
      </c>
      <c r="O15" s="84">
        <v>7.5</v>
      </c>
      <c r="P15" s="145">
        <v>2.62</v>
      </c>
      <c r="Q15" s="84">
        <v>7.7</v>
      </c>
      <c r="R15" s="145">
        <v>2.62</v>
      </c>
      <c r="S15" s="84">
        <v>7.7</v>
      </c>
      <c r="T15" s="147">
        <v>80</v>
      </c>
      <c r="U15" s="142">
        <v>120</v>
      </c>
      <c r="V15" s="145">
        <v>2.1</v>
      </c>
      <c r="W15" s="84">
        <v>7.5</v>
      </c>
      <c r="X15" s="145">
        <v>2.62</v>
      </c>
      <c r="Y15" s="84">
        <v>7.7</v>
      </c>
      <c r="Z15" s="145">
        <v>2.62</v>
      </c>
      <c r="AA15" s="84">
        <v>7.7</v>
      </c>
      <c r="AB15" s="147">
        <v>80</v>
      </c>
      <c r="AC15" s="142">
        <v>120</v>
      </c>
      <c r="AD15" s="83"/>
    </row>
    <row r="16" spans="1:30" ht="12.75">
      <c r="A16" s="73"/>
      <c r="B16" s="161">
        <v>101</v>
      </c>
      <c r="C16" s="84">
        <v>102</v>
      </c>
      <c r="D16" s="145">
        <v>1.5</v>
      </c>
      <c r="E16" s="84">
        <v>5.5</v>
      </c>
      <c r="F16" s="145">
        <v>0.5</v>
      </c>
      <c r="G16" s="84">
        <v>3.5</v>
      </c>
      <c r="H16" s="145">
        <v>1.3</v>
      </c>
      <c r="I16" s="84">
        <v>4.5</v>
      </c>
      <c r="J16" s="145">
        <v>1.6</v>
      </c>
      <c r="K16" s="84">
        <v>6</v>
      </c>
      <c r="L16" s="147">
        <v>20</v>
      </c>
      <c r="M16" s="142">
        <v>30</v>
      </c>
      <c r="N16" s="145">
        <v>0.5</v>
      </c>
      <c r="O16" s="84">
        <v>3.5</v>
      </c>
      <c r="P16" s="145">
        <v>1.3</v>
      </c>
      <c r="Q16" s="84">
        <v>4.5</v>
      </c>
      <c r="R16" s="145">
        <v>1.6</v>
      </c>
      <c r="S16" s="84">
        <v>6</v>
      </c>
      <c r="T16" s="147">
        <v>20</v>
      </c>
      <c r="U16" s="142">
        <v>30</v>
      </c>
      <c r="V16" s="145">
        <v>0.5</v>
      </c>
      <c r="W16" s="84">
        <v>3.5</v>
      </c>
      <c r="X16" s="145">
        <v>1.3</v>
      </c>
      <c r="Y16" s="84">
        <v>4.5</v>
      </c>
      <c r="Z16" s="145">
        <v>1.6</v>
      </c>
      <c r="AA16" s="84">
        <v>6</v>
      </c>
      <c r="AB16" s="147">
        <v>20</v>
      </c>
      <c r="AC16" s="142">
        <v>30</v>
      </c>
      <c r="AD16" s="83">
        <v>0.2</v>
      </c>
    </row>
    <row r="17" spans="1:30" ht="12.75">
      <c r="A17" s="73"/>
      <c r="B17" s="161">
        <v>102</v>
      </c>
      <c r="C17" s="84">
        <v>103</v>
      </c>
      <c r="D17" s="145">
        <v>2</v>
      </c>
      <c r="E17" s="84">
        <v>5</v>
      </c>
      <c r="F17" s="145">
        <v>1.2</v>
      </c>
      <c r="G17" s="84">
        <v>4</v>
      </c>
      <c r="H17" s="145">
        <v>1.8</v>
      </c>
      <c r="I17" s="84">
        <v>6</v>
      </c>
      <c r="J17" s="145">
        <v>1.8</v>
      </c>
      <c r="K17" s="84">
        <v>6</v>
      </c>
      <c r="L17" s="147">
        <v>0</v>
      </c>
      <c r="M17" s="142">
        <v>0</v>
      </c>
      <c r="N17" s="145">
        <v>1.8</v>
      </c>
      <c r="O17" s="84">
        <v>6</v>
      </c>
      <c r="P17" s="145">
        <v>1.8</v>
      </c>
      <c r="Q17" s="84">
        <v>6</v>
      </c>
      <c r="R17" s="145">
        <v>1.8</v>
      </c>
      <c r="S17" s="84">
        <v>6</v>
      </c>
      <c r="T17" s="147">
        <v>0</v>
      </c>
      <c r="U17" s="142">
        <v>0</v>
      </c>
      <c r="V17" s="145">
        <v>1.8</v>
      </c>
      <c r="W17" s="84">
        <v>6</v>
      </c>
      <c r="X17" s="145">
        <v>1.8</v>
      </c>
      <c r="Y17" s="84">
        <v>6</v>
      </c>
      <c r="Z17" s="145">
        <v>1.8</v>
      </c>
      <c r="AA17" s="84">
        <v>6</v>
      </c>
      <c r="AB17" s="147">
        <v>0</v>
      </c>
      <c r="AC17" s="142">
        <v>0</v>
      </c>
      <c r="AD17" s="83"/>
    </row>
    <row r="18" spans="1:30" ht="12.75">
      <c r="A18" s="73"/>
      <c r="B18" s="161">
        <v>260</v>
      </c>
      <c r="C18" s="84">
        <v>263.6</v>
      </c>
      <c r="D18" s="145">
        <v>2.25</v>
      </c>
      <c r="E18" s="84">
        <v>6.25</v>
      </c>
      <c r="F18" s="146">
        <v>1.7</v>
      </c>
      <c r="G18" s="143">
        <v>5.5</v>
      </c>
      <c r="H18" s="146">
        <v>2</v>
      </c>
      <c r="I18" s="143">
        <v>5.9</v>
      </c>
      <c r="J18" s="146">
        <v>2.3</v>
      </c>
      <c r="K18" s="143">
        <v>6.3</v>
      </c>
      <c r="L18" s="147">
        <v>200</v>
      </c>
      <c r="M18" s="142">
        <v>260</v>
      </c>
      <c r="N18" s="146"/>
      <c r="O18" s="143"/>
      <c r="P18" s="146"/>
      <c r="Q18" s="143"/>
      <c r="R18" s="146"/>
      <c r="S18" s="143"/>
      <c r="T18" s="147"/>
      <c r="U18" s="142"/>
      <c r="V18" s="146"/>
      <c r="W18" s="143"/>
      <c r="X18" s="146"/>
      <c r="Y18" s="143"/>
      <c r="Z18" s="146"/>
      <c r="AA18" s="143"/>
      <c r="AB18" s="147"/>
      <c r="AC18" s="142"/>
      <c r="AD18" s="148"/>
    </row>
    <row r="19" spans="1:30" ht="12.75">
      <c r="A19" s="73"/>
      <c r="B19" s="161">
        <v>263.6</v>
      </c>
      <c r="C19" s="84">
        <v>277.32</v>
      </c>
      <c r="D19" s="145">
        <v>2.25</v>
      </c>
      <c r="E19" s="84">
        <v>6.25</v>
      </c>
      <c r="F19" s="146">
        <v>1.3</v>
      </c>
      <c r="G19" s="143">
        <v>5.3</v>
      </c>
      <c r="H19" s="146">
        <v>1.8</v>
      </c>
      <c r="I19" s="143">
        <v>5.8</v>
      </c>
      <c r="J19" s="146">
        <v>2.1</v>
      </c>
      <c r="K19" s="143">
        <v>6.3</v>
      </c>
      <c r="L19" s="147">
        <v>200</v>
      </c>
      <c r="M19" s="142">
        <v>260</v>
      </c>
      <c r="N19" s="146"/>
      <c r="O19" s="143"/>
      <c r="P19" s="146"/>
      <c r="Q19" s="143"/>
      <c r="R19" s="146"/>
      <c r="S19" s="143"/>
      <c r="T19" s="147"/>
      <c r="U19" s="142"/>
      <c r="V19" s="146"/>
      <c r="W19" s="143"/>
      <c r="X19" s="146"/>
      <c r="Y19" s="143"/>
      <c r="Z19" s="146"/>
      <c r="AA19" s="143"/>
      <c r="AB19" s="147"/>
      <c r="AC19" s="142"/>
      <c r="AD19" s="148"/>
    </row>
    <row r="20" spans="1:30" ht="12.75">
      <c r="A20" s="73"/>
      <c r="B20" s="161">
        <v>277.32</v>
      </c>
      <c r="C20" s="84">
        <v>290.5</v>
      </c>
      <c r="D20" s="145">
        <v>2.25</v>
      </c>
      <c r="E20" s="84">
        <v>6.25</v>
      </c>
      <c r="F20" s="146">
        <v>1.7</v>
      </c>
      <c r="G20" s="143">
        <v>5.4</v>
      </c>
      <c r="H20" s="146">
        <v>2</v>
      </c>
      <c r="I20" s="143">
        <v>5.8</v>
      </c>
      <c r="J20" s="146">
        <v>2.2</v>
      </c>
      <c r="K20" s="143">
        <v>6.3</v>
      </c>
      <c r="L20" s="147">
        <v>200</v>
      </c>
      <c r="M20" s="142">
        <v>260</v>
      </c>
      <c r="N20" s="146"/>
      <c r="O20" s="143"/>
      <c r="P20" s="146"/>
      <c r="Q20" s="143"/>
      <c r="R20" s="146"/>
      <c r="S20" s="143"/>
      <c r="T20" s="147"/>
      <c r="U20" s="142"/>
      <c r="V20" s="146"/>
      <c r="W20" s="143"/>
      <c r="X20" s="146"/>
      <c r="Y20" s="143"/>
      <c r="Z20" s="146"/>
      <c r="AA20" s="143"/>
      <c r="AB20" s="147"/>
      <c r="AC20" s="142"/>
      <c r="AD20" s="148"/>
    </row>
    <row r="21" spans="1:30" ht="12.75">
      <c r="A21" s="73"/>
      <c r="B21" s="161">
        <v>300</v>
      </c>
      <c r="C21" s="84">
        <v>302</v>
      </c>
      <c r="D21" s="145">
        <v>2.25</v>
      </c>
      <c r="E21" s="84">
        <v>6.25</v>
      </c>
      <c r="F21" s="146">
        <v>2.2</v>
      </c>
      <c r="G21" s="143">
        <v>6</v>
      </c>
      <c r="H21" s="146">
        <v>2.5</v>
      </c>
      <c r="I21" s="143">
        <v>6.2</v>
      </c>
      <c r="J21" s="146">
        <v>2.8</v>
      </c>
      <c r="K21" s="143">
        <v>6.3</v>
      </c>
      <c r="L21" s="147">
        <v>20</v>
      </c>
      <c r="M21" s="142">
        <v>50</v>
      </c>
      <c r="N21" s="146">
        <v>2.5</v>
      </c>
      <c r="O21" s="143">
        <v>6.1</v>
      </c>
      <c r="P21" s="146">
        <v>2.8</v>
      </c>
      <c r="Q21" s="143">
        <v>6.5</v>
      </c>
      <c r="R21" s="146">
        <v>3.3</v>
      </c>
      <c r="S21" s="143">
        <v>6.9</v>
      </c>
      <c r="T21" s="147">
        <v>0</v>
      </c>
      <c r="U21" s="142">
        <v>30</v>
      </c>
      <c r="V21" s="146"/>
      <c r="W21" s="143"/>
      <c r="X21" s="146"/>
      <c r="Y21" s="143"/>
      <c r="Z21" s="146"/>
      <c r="AA21" s="143"/>
      <c r="AB21" s="147"/>
      <c r="AC21" s="142"/>
      <c r="AD21" s="148"/>
    </row>
    <row r="22" spans="1:30" ht="12.75">
      <c r="A22" s="73"/>
      <c r="B22" s="161">
        <v>2</v>
      </c>
      <c r="C22" s="84">
        <v>3</v>
      </c>
      <c r="D22" s="145">
        <v>2</v>
      </c>
      <c r="E22" s="84">
        <v>5</v>
      </c>
      <c r="F22" s="146">
        <v>0.7</v>
      </c>
      <c r="G22" s="143">
        <v>3</v>
      </c>
      <c r="H22" s="146">
        <v>0.7</v>
      </c>
      <c r="I22" s="143">
        <v>3</v>
      </c>
      <c r="J22" s="146">
        <v>0.7</v>
      </c>
      <c r="K22" s="143">
        <v>3</v>
      </c>
      <c r="L22" s="147">
        <v>-20</v>
      </c>
      <c r="M22" s="142">
        <v>25</v>
      </c>
      <c r="N22" s="146">
        <v>0.7</v>
      </c>
      <c r="O22" s="143">
        <v>5</v>
      </c>
      <c r="P22" s="146">
        <v>0.7</v>
      </c>
      <c r="Q22" s="143">
        <v>5</v>
      </c>
      <c r="R22" s="146">
        <v>0.7</v>
      </c>
      <c r="S22" s="143">
        <v>5</v>
      </c>
      <c r="T22" s="147">
        <v>-20</v>
      </c>
      <c r="U22" s="142">
        <v>25</v>
      </c>
      <c r="V22" s="146">
        <v>0.7</v>
      </c>
      <c r="W22" s="143">
        <v>3</v>
      </c>
      <c r="X22" s="146">
        <v>0.7</v>
      </c>
      <c r="Y22" s="143">
        <v>3</v>
      </c>
      <c r="Z22" s="146">
        <v>0.7</v>
      </c>
      <c r="AA22" s="143">
        <v>3</v>
      </c>
      <c r="AB22" s="147">
        <v>70</v>
      </c>
      <c r="AC22" s="142">
        <v>90</v>
      </c>
      <c r="AD22" s="148"/>
    </row>
    <row r="23" spans="1:30" ht="12.75">
      <c r="A23" s="73"/>
      <c r="B23" s="161">
        <v>3</v>
      </c>
      <c r="C23" s="84">
        <v>4</v>
      </c>
      <c r="D23" s="145">
        <v>2</v>
      </c>
      <c r="E23" s="84">
        <v>5</v>
      </c>
      <c r="F23" s="146">
        <v>1.3</v>
      </c>
      <c r="G23" s="143">
        <v>4.2</v>
      </c>
      <c r="H23" s="146">
        <v>1.3</v>
      </c>
      <c r="I23" s="143">
        <v>4.2</v>
      </c>
      <c r="J23" s="146">
        <v>1.3</v>
      </c>
      <c r="K23" s="143">
        <v>4.2</v>
      </c>
      <c r="L23" s="147">
        <v>-20</v>
      </c>
      <c r="M23" s="142">
        <v>25</v>
      </c>
      <c r="N23" s="146">
        <v>1.3</v>
      </c>
      <c r="O23" s="143">
        <v>6.8</v>
      </c>
      <c r="P23" s="146">
        <v>1.3</v>
      </c>
      <c r="Q23" s="143">
        <v>6.8</v>
      </c>
      <c r="R23" s="146">
        <v>1.3</v>
      </c>
      <c r="S23" s="143">
        <v>6.8</v>
      </c>
      <c r="T23" s="147">
        <v>-20</v>
      </c>
      <c r="U23" s="142">
        <v>25</v>
      </c>
      <c r="V23" s="146">
        <v>1.3</v>
      </c>
      <c r="W23" s="143">
        <v>4.2</v>
      </c>
      <c r="X23" s="146">
        <v>1.3</v>
      </c>
      <c r="Y23" s="143">
        <v>4.2</v>
      </c>
      <c r="Z23" s="146">
        <v>1.3</v>
      </c>
      <c r="AA23" s="143">
        <v>4.2</v>
      </c>
      <c r="AB23" s="147">
        <v>70</v>
      </c>
      <c r="AC23" s="142">
        <v>90</v>
      </c>
      <c r="AD23" s="148"/>
    </row>
    <row r="24" spans="1:30" ht="12.75">
      <c r="A24" s="73"/>
      <c r="B24" s="161">
        <v>4</v>
      </c>
      <c r="C24" s="84">
        <v>5</v>
      </c>
      <c r="D24" s="145">
        <v>2</v>
      </c>
      <c r="E24" s="84">
        <v>5</v>
      </c>
      <c r="F24" s="146">
        <v>1.8</v>
      </c>
      <c r="G24" s="143">
        <v>5</v>
      </c>
      <c r="H24" s="146">
        <v>1.8</v>
      </c>
      <c r="I24" s="143">
        <v>5</v>
      </c>
      <c r="J24" s="146">
        <v>1.8</v>
      </c>
      <c r="K24" s="143">
        <v>5</v>
      </c>
      <c r="L24" s="147">
        <v>-20</v>
      </c>
      <c r="M24" s="142">
        <v>25</v>
      </c>
      <c r="N24" s="146">
        <v>1.8</v>
      </c>
      <c r="O24" s="143">
        <v>8</v>
      </c>
      <c r="P24" s="146">
        <v>1.8</v>
      </c>
      <c r="Q24" s="143">
        <v>8</v>
      </c>
      <c r="R24" s="146">
        <v>1.8</v>
      </c>
      <c r="S24" s="143">
        <v>8</v>
      </c>
      <c r="T24" s="147">
        <v>-20</v>
      </c>
      <c r="U24" s="142">
        <v>25</v>
      </c>
      <c r="V24" s="146">
        <v>1.8</v>
      </c>
      <c r="W24" s="143">
        <v>5</v>
      </c>
      <c r="X24" s="146">
        <v>1.8</v>
      </c>
      <c r="Y24" s="143">
        <v>5</v>
      </c>
      <c r="Z24" s="146">
        <v>1.8</v>
      </c>
      <c r="AA24" s="143">
        <v>5</v>
      </c>
      <c r="AB24" s="147">
        <v>70</v>
      </c>
      <c r="AC24" s="142">
        <v>90</v>
      </c>
      <c r="AD24" s="148"/>
    </row>
    <row r="25" spans="1:30" ht="12.75">
      <c r="A25" s="73"/>
      <c r="B25" s="161">
        <v>6</v>
      </c>
      <c r="C25" s="84">
        <v>7</v>
      </c>
      <c r="D25" s="145">
        <v>2</v>
      </c>
      <c r="E25" s="84">
        <v>5</v>
      </c>
      <c r="F25" s="146">
        <v>2.2</v>
      </c>
      <c r="G25" s="143">
        <v>5.5</v>
      </c>
      <c r="H25" s="146">
        <v>2.2</v>
      </c>
      <c r="I25" s="143">
        <v>5.5</v>
      </c>
      <c r="J25" s="146">
        <v>2.2</v>
      </c>
      <c r="K25" s="143">
        <v>5.5</v>
      </c>
      <c r="L25" s="147">
        <v>-20</v>
      </c>
      <c r="M25" s="142">
        <v>25</v>
      </c>
      <c r="N25" s="146">
        <v>2.2</v>
      </c>
      <c r="O25" s="143">
        <v>9</v>
      </c>
      <c r="P25" s="146">
        <v>2.2</v>
      </c>
      <c r="Q25" s="143">
        <v>9</v>
      </c>
      <c r="R25" s="146">
        <v>2.2</v>
      </c>
      <c r="S25" s="143">
        <v>9</v>
      </c>
      <c r="T25" s="147">
        <v>-20</v>
      </c>
      <c r="U25" s="142">
        <v>25</v>
      </c>
      <c r="V25" s="146">
        <v>2.2</v>
      </c>
      <c r="W25" s="143">
        <v>5.5</v>
      </c>
      <c r="X25" s="146">
        <v>2.2</v>
      </c>
      <c r="Y25" s="143">
        <v>5.5</v>
      </c>
      <c r="Z25" s="146">
        <v>2.2</v>
      </c>
      <c r="AA25" s="143">
        <v>5.5</v>
      </c>
      <c r="AB25" s="147">
        <v>70</v>
      </c>
      <c r="AC25" s="142">
        <v>90</v>
      </c>
      <c r="AD25" s="148"/>
    </row>
    <row r="26" spans="1:30" ht="12.75">
      <c r="A26" s="73"/>
      <c r="B26" s="161"/>
      <c r="C26" s="84"/>
      <c r="D26" s="146"/>
      <c r="E26" s="143"/>
      <c r="F26" s="146"/>
      <c r="G26" s="143"/>
      <c r="H26" s="146"/>
      <c r="I26" s="143"/>
      <c r="J26" s="146"/>
      <c r="K26" s="143"/>
      <c r="L26" s="147"/>
      <c r="M26" s="142"/>
      <c r="N26" s="146"/>
      <c r="O26" s="143"/>
      <c r="P26" s="146"/>
      <c r="Q26" s="143"/>
      <c r="R26" s="146"/>
      <c r="S26" s="143"/>
      <c r="T26" s="147"/>
      <c r="U26" s="142"/>
      <c r="V26" s="146"/>
      <c r="W26" s="143"/>
      <c r="X26" s="146"/>
      <c r="Y26" s="143"/>
      <c r="Z26" s="146"/>
      <c r="AA26" s="143"/>
      <c r="AB26" s="147"/>
      <c r="AC26" s="142"/>
      <c r="AD26" s="148"/>
    </row>
    <row r="27" spans="1:30" ht="12.75">
      <c r="A27" s="73"/>
      <c r="B27" s="161"/>
      <c r="C27" s="84"/>
      <c r="D27" s="146"/>
      <c r="E27" s="143"/>
      <c r="F27" s="146"/>
      <c r="G27" s="143"/>
      <c r="H27" s="146"/>
      <c r="I27" s="143"/>
      <c r="J27" s="146"/>
      <c r="K27" s="143"/>
      <c r="L27" s="147"/>
      <c r="M27" s="142"/>
      <c r="N27" s="146"/>
      <c r="O27" s="143"/>
      <c r="P27" s="146"/>
      <c r="Q27" s="143"/>
      <c r="R27" s="146"/>
      <c r="S27" s="143"/>
      <c r="T27" s="147"/>
      <c r="U27" s="142"/>
      <c r="V27" s="146"/>
      <c r="W27" s="143"/>
      <c r="X27" s="146"/>
      <c r="Y27" s="143"/>
      <c r="Z27" s="146"/>
      <c r="AA27" s="143"/>
      <c r="AB27" s="147"/>
      <c r="AC27" s="142"/>
      <c r="AD27" s="148"/>
    </row>
    <row r="28" spans="1:30" ht="12.75">
      <c r="A28" s="73"/>
      <c r="B28" s="161"/>
      <c r="C28" s="84"/>
      <c r="D28" s="146"/>
      <c r="E28" s="143"/>
      <c r="F28" s="146"/>
      <c r="G28" s="143"/>
      <c r="H28" s="146"/>
      <c r="I28" s="143"/>
      <c r="J28" s="146"/>
      <c r="K28" s="143"/>
      <c r="L28" s="147"/>
      <c r="M28" s="142"/>
      <c r="N28" s="146"/>
      <c r="O28" s="143"/>
      <c r="P28" s="146"/>
      <c r="Q28" s="143"/>
      <c r="R28" s="146"/>
      <c r="S28" s="143"/>
      <c r="T28" s="147"/>
      <c r="U28" s="142"/>
      <c r="V28" s="146"/>
      <c r="W28" s="143"/>
      <c r="X28" s="146"/>
      <c r="Y28" s="143"/>
      <c r="Z28" s="146"/>
      <c r="AA28" s="143"/>
      <c r="AB28" s="147"/>
      <c r="AC28" s="142"/>
      <c r="AD28" s="148"/>
    </row>
    <row r="29" spans="1:30" ht="12.75">
      <c r="A29" s="73"/>
      <c r="B29" s="161"/>
      <c r="C29" s="84"/>
      <c r="D29" s="146"/>
      <c r="E29" s="143"/>
      <c r="F29" s="146"/>
      <c r="G29" s="143"/>
      <c r="H29" s="146"/>
      <c r="I29" s="143"/>
      <c r="J29" s="146"/>
      <c r="K29" s="143"/>
      <c r="L29" s="147"/>
      <c r="M29" s="142"/>
      <c r="N29" s="146"/>
      <c r="O29" s="143"/>
      <c r="P29" s="146"/>
      <c r="Q29" s="143"/>
      <c r="R29" s="146"/>
      <c r="S29" s="143"/>
      <c r="T29" s="147"/>
      <c r="U29" s="142"/>
      <c r="V29" s="146"/>
      <c r="W29" s="143"/>
      <c r="X29" s="146"/>
      <c r="Y29" s="143"/>
      <c r="Z29" s="146"/>
      <c r="AA29" s="143"/>
      <c r="AB29" s="147"/>
      <c r="AC29" s="142"/>
      <c r="AD29" s="148"/>
    </row>
    <row r="30" spans="1:30" ht="12.75">
      <c r="A30" s="73"/>
      <c r="B30" s="161"/>
      <c r="C30" s="84"/>
      <c r="D30" s="146"/>
      <c r="E30" s="143"/>
      <c r="F30" s="146"/>
      <c r="G30" s="143"/>
      <c r="H30" s="146"/>
      <c r="I30" s="143"/>
      <c r="J30" s="146"/>
      <c r="K30" s="143"/>
      <c r="L30" s="147"/>
      <c r="M30" s="142"/>
      <c r="N30" s="146"/>
      <c r="O30" s="143"/>
      <c r="P30" s="146"/>
      <c r="Q30" s="143"/>
      <c r="R30" s="146"/>
      <c r="S30" s="143"/>
      <c r="T30" s="147"/>
      <c r="U30" s="142"/>
      <c r="V30" s="146"/>
      <c r="W30" s="143"/>
      <c r="X30" s="146"/>
      <c r="Y30" s="143"/>
      <c r="Z30" s="146"/>
      <c r="AA30" s="143"/>
      <c r="AB30" s="147"/>
      <c r="AC30" s="142"/>
      <c r="AD30" s="148"/>
    </row>
    <row r="31" spans="1:30" ht="12.75">
      <c r="A31" s="73"/>
      <c r="B31" s="161"/>
      <c r="C31" s="84"/>
      <c r="D31" s="146"/>
      <c r="E31" s="143"/>
      <c r="F31" s="146"/>
      <c r="G31" s="143"/>
      <c r="H31" s="146"/>
      <c r="I31" s="143"/>
      <c r="J31" s="146"/>
      <c r="K31" s="143"/>
      <c r="L31" s="147"/>
      <c r="M31" s="142"/>
      <c r="N31" s="146"/>
      <c r="O31" s="143"/>
      <c r="P31" s="146"/>
      <c r="Q31" s="143"/>
      <c r="R31" s="146"/>
      <c r="S31" s="143"/>
      <c r="T31" s="147"/>
      <c r="U31" s="142"/>
      <c r="V31" s="146"/>
      <c r="W31" s="143"/>
      <c r="X31" s="146"/>
      <c r="Y31" s="143"/>
      <c r="Z31" s="146"/>
      <c r="AA31" s="143"/>
      <c r="AB31" s="147"/>
      <c r="AC31" s="142"/>
      <c r="AD31" s="148"/>
    </row>
    <row r="32" spans="1:30" ht="12.75">
      <c r="A32" s="73"/>
      <c r="B32" s="161"/>
      <c r="C32" s="84"/>
      <c r="D32" s="146"/>
      <c r="E32" s="143"/>
      <c r="F32" s="146"/>
      <c r="G32" s="143"/>
      <c r="H32" s="146"/>
      <c r="I32" s="143"/>
      <c r="J32" s="146"/>
      <c r="K32" s="143"/>
      <c r="L32" s="147"/>
      <c r="M32" s="142"/>
      <c r="N32" s="146"/>
      <c r="O32" s="143"/>
      <c r="P32" s="146"/>
      <c r="Q32" s="143"/>
      <c r="R32" s="146"/>
      <c r="S32" s="143"/>
      <c r="T32" s="147"/>
      <c r="U32" s="142"/>
      <c r="V32" s="146"/>
      <c r="W32" s="143"/>
      <c r="X32" s="146"/>
      <c r="Y32" s="143"/>
      <c r="Z32" s="146"/>
      <c r="AA32" s="143"/>
      <c r="AB32" s="147"/>
      <c r="AC32" s="142"/>
      <c r="AD32" s="148"/>
    </row>
    <row r="33" spans="1:30" ht="12.75">
      <c r="A33" s="73"/>
      <c r="B33" s="161"/>
      <c r="C33" s="84"/>
      <c r="D33" s="146"/>
      <c r="E33" s="143"/>
      <c r="F33" s="146"/>
      <c r="G33" s="143"/>
      <c r="H33" s="146"/>
      <c r="I33" s="143"/>
      <c r="J33" s="146"/>
      <c r="K33" s="143"/>
      <c r="L33" s="147"/>
      <c r="M33" s="142"/>
      <c r="N33" s="146"/>
      <c r="O33" s="143"/>
      <c r="P33" s="146"/>
      <c r="Q33" s="143"/>
      <c r="R33" s="146"/>
      <c r="S33" s="143"/>
      <c r="T33" s="147"/>
      <c r="U33" s="142"/>
      <c r="V33" s="146"/>
      <c r="W33" s="143"/>
      <c r="X33" s="146"/>
      <c r="Y33" s="143"/>
      <c r="Z33" s="146"/>
      <c r="AA33" s="143"/>
      <c r="AB33" s="147"/>
      <c r="AC33" s="142"/>
      <c r="AD33" s="148"/>
    </row>
    <row r="34" spans="1:30" ht="12.75">
      <c r="A34" s="73"/>
      <c r="B34" s="161"/>
      <c r="C34" s="84"/>
      <c r="D34" s="146"/>
      <c r="E34" s="143"/>
      <c r="F34" s="146"/>
      <c r="G34" s="143"/>
      <c r="H34" s="146"/>
      <c r="I34" s="143"/>
      <c r="J34" s="146"/>
      <c r="K34" s="143"/>
      <c r="L34" s="147"/>
      <c r="M34" s="142"/>
      <c r="N34" s="146"/>
      <c r="O34" s="143"/>
      <c r="P34" s="146"/>
      <c r="Q34" s="143"/>
      <c r="R34" s="146"/>
      <c r="S34" s="143"/>
      <c r="T34" s="147"/>
      <c r="U34" s="142"/>
      <c r="V34" s="146"/>
      <c r="W34" s="143"/>
      <c r="X34" s="146"/>
      <c r="Y34" s="143"/>
      <c r="Z34" s="146"/>
      <c r="AA34" s="143"/>
      <c r="AB34" s="147"/>
      <c r="AC34" s="142"/>
      <c r="AD34" s="148"/>
    </row>
    <row r="35" spans="1:30" ht="12.75">
      <c r="A35" s="73"/>
      <c r="B35" s="161"/>
      <c r="C35" s="84"/>
      <c r="D35" s="146"/>
      <c r="E35" s="143"/>
      <c r="F35" s="146"/>
      <c r="G35" s="143"/>
      <c r="H35" s="146"/>
      <c r="I35" s="143"/>
      <c r="J35" s="146"/>
      <c r="K35" s="143"/>
      <c r="L35" s="147"/>
      <c r="M35" s="142"/>
      <c r="N35" s="146"/>
      <c r="O35" s="143"/>
      <c r="P35" s="146"/>
      <c r="Q35" s="143"/>
      <c r="R35" s="146"/>
      <c r="S35" s="143"/>
      <c r="T35" s="147"/>
      <c r="U35" s="142"/>
      <c r="V35" s="146"/>
      <c r="W35" s="143"/>
      <c r="X35" s="146"/>
      <c r="Y35" s="143"/>
      <c r="Z35" s="146"/>
      <c r="AA35" s="143"/>
      <c r="AB35" s="147"/>
      <c r="AC35" s="142"/>
      <c r="AD35" s="148"/>
    </row>
    <row r="36" spans="1:30" ht="12.75">
      <c r="A36" s="73"/>
      <c r="B36" s="161"/>
      <c r="C36" s="84"/>
      <c r="D36" s="146"/>
      <c r="E36" s="143"/>
      <c r="F36" s="146"/>
      <c r="G36" s="143"/>
      <c r="H36" s="146"/>
      <c r="I36" s="143"/>
      <c r="J36" s="146"/>
      <c r="K36" s="143"/>
      <c r="L36" s="147"/>
      <c r="M36" s="142"/>
      <c r="N36" s="146"/>
      <c r="O36" s="143"/>
      <c r="P36" s="146"/>
      <c r="Q36" s="143"/>
      <c r="R36" s="146"/>
      <c r="S36" s="143"/>
      <c r="T36" s="147"/>
      <c r="U36" s="142"/>
      <c r="V36" s="146"/>
      <c r="W36" s="143"/>
      <c r="X36" s="146"/>
      <c r="Y36" s="143"/>
      <c r="Z36" s="146"/>
      <c r="AA36" s="143"/>
      <c r="AB36" s="147"/>
      <c r="AC36" s="142"/>
      <c r="AD36" s="148"/>
    </row>
    <row r="37" spans="1:30" ht="12.75">
      <c r="A37" s="73"/>
      <c r="B37" s="161"/>
      <c r="C37" s="84"/>
      <c r="D37" s="146"/>
      <c r="E37" s="143"/>
      <c r="F37" s="146"/>
      <c r="G37" s="143"/>
      <c r="H37" s="146"/>
      <c r="I37" s="143"/>
      <c r="J37" s="146"/>
      <c r="K37" s="143"/>
      <c r="L37" s="147"/>
      <c r="M37" s="142"/>
      <c r="N37" s="146"/>
      <c r="O37" s="143"/>
      <c r="P37" s="146"/>
      <c r="Q37" s="143"/>
      <c r="R37" s="146"/>
      <c r="S37" s="143"/>
      <c r="T37" s="147"/>
      <c r="U37" s="142"/>
      <c r="V37" s="146"/>
      <c r="W37" s="143"/>
      <c r="X37" s="146"/>
      <c r="Y37" s="143"/>
      <c r="Z37" s="146"/>
      <c r="AA37" s="143"/>
      <c r="AB37" s="147"/>
      <c r="AC37" s="142"/>
      <c r="AD37" s="148"/>
    </row>
    <row r="38" spans="1:30" ht="12.75">
      <c r="A38" s="73"/>
      <c r="B38" s="161"/>
      <c r="C38" s="84"/>
      <c r="D38" s="146"/>
      <c r="E38" s="143"/>
      <c r="F38" s="146"/>
      <c r="G38" s="143"/>
      <c r="H38" s="146"/>
      <c r="I38" s="143"/>
      <c r="J38" s="146"/>
      <c r="K38" s="143"/>
      <c r="L38" s="147"/>
      <c r="M38" s="142"/>
      <c r="N38" s="146"/>
      <c r="O38" s="143"/>
      <c r="P38" s="146"/>
      <c r="Q38" s="143"/>
      <c r="R38" s="146"/>
      <c r="S38" s="143"/>
      <c r="T38" s="147"/>
      <c r="U38" s="142"/>
      <c r="V38" s="146"/>
      <c r="W38" s="143"/>
      <c r="X38" s="146"/>
      <c r="Y38" s="143"/>
      <c r="Z38" s="146"/>
      <c r="AA38" s="143"/>
      <c r="AB38" s="147"/>
      <c r="AC38" s="142"/>
      <c r="AD38" s="148"/>
    </row>
    <row r="39" spans="1:30" ht="12.75">
      <c r="A39" s="73"/>
      <c r="B39" s="161"/>
      <c r="C39" s="84"/>
      <c r="D39" s="146"/>
      <c r="E39" s="143"/>
      <c r="F39" s="146"/>
      <c r="G39" s="143"/>
      <c r="H39" s="146"/>
      <c r="I39" s="143"/>
      <c r="J39" s="146"/>
      <c r="K39" s="143"/>
      <c r="L39" s="147"/>
      <c r="M39" s="142"/>
      <c r="N39" s="146"/>
      <c r="O39" s="143"/>
      <c r="P39" s="146"/>
      <c r="Q39" s="143"/>
      <c r="R39" s="146"/>
      <c r="S39" s="143"/>
      <c r="T39" s="147"/>
      <c r="U39" s="142"/>
      <c r="V39" s="146"/>
      <c r="W39" s="143"/>
      <c r="X39" s="146"/>
      <c r="Y39" s="143"/>
      <c r="Z39" s="146"/>
      <c r="AA39" s="143"/>
      <c r="AB39" s="147"/>
      <c r="AC39" s="142"/>
      <c r="AD39" s="148"/>
    </row>
    <row r="40" spans="1:30" ht="12.75">
      <c r="A40" s="73"/>
      <c r="B40" s="161"/>
      <c r="C40" s="84"/>
      <c r="D40" s="146"/>
      <c r="E40" s="143"/>
      <c r="F40" s="146"/>
      <c r="G40" s="143"/>
      <c r="H40" s="146"/>
      <c r="I40" s="143"/>
      <c r="J40" s="146"/>
      <c r="K40" s="143"/>
      <c r="L40" s="147"/>
      <c r="M40" s="142"/>
      <c r="N40" s="146"/>
      <c r="O40" s="143"/>
      <c r="P40" s="146"/>
      <c r="Q40" s="143"/>
      <c r="R40" s="146"/>
      <c r="S40" s="143"/>
      <c r="T40" s="147"/>
      <c r="U40" s="142"/>
      <c r="V40" s="146"/>
      <c r="W40" s="143"/>
      <c r="X40" s="146"/>
      <c r="Y40" s="143"/>
      <c r="Z40" s="146"/>
      <c r="AA40" s="143"/>
      <c r="AB40" s="147"/>
      <c r="AC40" s="142"/>
      <c r="AD40" s="148"/>
    </row>
    <row r="41" spans="1:30" ht="12.75">
      <c r="A41" s="73"/>
      <c r="B41" s="161"/>
      <c r="C41" s="84"/>
      <c r="D41" s="146"/>
      <c r="E41" s="143"/>
      <c r="F41" s="146"/>
      <c r="G41" s="143"/>
      <c r="H41" s="146"/>
      <c r="I41" s="143"/>
      <c r="J41" s="146"/>
      <c r="K41" s="143"/>
      <c r="L41" s="147"/>
      <c r="M41" s="142"/>
      <c r="N41" s="146"/>
      <c r="O41" s="143"/>
      <c r="P41" s="146"/>
      <c r="Q41" s="143"/>
      <c r="R41" s="146"/>
      <c r="S41" s="143"/>
      <c r="T41" s="147"/>
      <c r="U41" s="142"/>
      <c r="V41" s="146"/>
      <c r="W41" s="143"/>
      <c r="X41" s="146"/>
      <c r="Y41" s="143"/>
      <c r="Z41" s="146"/>
      <c r="AA41" s="143"/>
      <c r="AB41" s="147"/>
      <c r="AC41" s="142"/>
      <c r="AD41" s="148"/>
    </row>
    <row r="42" spans="1:30" ht="12.75">
      <c r="A42" s="73"/>
      <c r="B42" s="161"/>
      <c r="C42" s="84"/>
      <c r="D42" s="146"/>
      <c r="E42" s="143"/>
      <c r="F42" s="146"/>
      <c r="G42" s="143"/>
      <c r="H42" s="146"/>
      <c r="I42" s="143"/>
      <c r="J42" s="146"/>
      <c r="K42" s="143"/>
      <c r="L42" s="147"/>
      <c r="M42" s="142"/>
      <c r="N42" s="146"/>
      <c r="O42" s="143"/>
      <c r="P42" s="146"/>
      <c r="Q42" s="143"/>
      <c r="R42" s="146"/>
      <c r="S42" s="143"/>
      <c r="T42" s="147"/>
      <c r="U42" s="142"/>
      <c r="V42" s="146"/>
      <c r="W42" s="143"/>
      <c r="X42" s="146"/>
      <c r="Y42" s="143"/>
      <c r="Z42" s="146"/>
      <c r="AA42" s="143"/>
      <c r="AB42" s="147"/>
      <c r="AC42" s="142"/>
      <c r="AD42" s="148"/>
    </row>
    <row r="43" spans="1:30" ht="12.75">
      <c r="A43" s="73"/>
      <c r="B43" s="161"/>
      <c r="C43" s="84"/>
      <c r="D43" s="146"/>
      <c r="E43" s="143"/>
      <c r="F43" s="146"/>
      <c r="G43" s="143"/>
      <c r="H43" s="146"/>
      <c r="I43" s="143"/>
      <c r="J43" s="146"/>
      <c r="K43" s="143"/>
      <c r="L43" s="147"/>
      <c r="M43" s="142"/>
      <c r="N43" s="146"/>
      <c r="O43" s="143"/>
      <c r="P43" s="146"/>
      <c r="Q43" s="143"/>
      <c r="R43" s="146"/>
      <c r="S43" s="143"/>
      <c r="T43" s="147"/>
      <c r="U43" s="142"/>
      <c r="V43" s="146"/>
      <c r="W43" s="143"/>
      <c r="X43" s="146"/>
      <c r="Y43" s="143"/>
      <c r="Z43" s="146"/>
      <c r="AA43" s="143"/>
      <c r="AB43" s="147"/>
      <c r="AC43" s="142"/>
      <c r="AD43" s="148"/>
    </row>
    <row r="44" spans="1:30" ht="12.75">
      <c r="A44" s="73"/>
      <c r="B44" s="161"/>
      <c r="C44" s="84"/>
      <c r="D44" s="146"/>
      <c r="E44" s="143"/>
      <c r="F44" s="146"/>
      <c r="G44" s="143"/>
      <c r="H44" s="146"/>
      <c r="I44" s="143"/>
      <c r="J44" s="146"/>
      <c r="K44" s="143"/>
      <c r="L44" s="147"/>
      <c r="M44" s="142"/>
      <c r="N44" s="146"/>
      <c r="O44" s="143"/>
      <c r="P44" s="146"/>
      <c r="Q44" s="143"/>
      <c r="R44" s="146"/>
      <c r="S44" s="143"/>
      <c r="T44" s="147"/>
      <c r="U44" s="142"/>
      <c r="V44" s="146"/>
      <c r="W44" s="143"/>
      <c r="X44" s="146"/>
      <c r="Y44" s="143"/>
      <c r="Z44" s="146"/>
      <c r="AA44" s="143"/>
      <c r="AB44" s="147"/>
      <c r="AC44" s="142"/>
      <c r="AD44" s="148"/>
    </row>
    <row r="45" spans="1:30" ht="12.75">
      <c r="A45" s="73"/>
      <c r="B45" s="161"/>
      <c r="C45" s="84"/>
      <c r="D45" s="146"/>
      <c r="E45" s="143"/>
      <c r="F45" s="146"/>
      <c r="G45" s="143"/>
      <c r="H45" s="146"/>
      <c r="I45" s="143"/>
      <c r="J45" s="146"/>
      <c r="K45" s="143"/>
      <c r="L45" s="147"/>
      <c r="M45" s="142"/>
      <c r="N45" s="146"/>
      <c r="O45" s="143"/>
      <c r="P45" s="146"/>
      <c r="Q45" s="143"/>
      <c r="R45" s="146"/>
      <c r="S45" s="143"/>
      <c r="T45" s="147"/>
      <c r="U45" s="142"/>
      <c r="V45" s="146"/>
      <c r="W45" s="143"/>
      <c r="X45" s="146"/>
      <c r="Y45" s="143"/>
      <c r="Z45" s="146"/>
      <c r="AA45" s="143"/>
      <c r="AB45" s="147"/>
      <c r="AC45" s="142"/>
      <c r="AD45" s="148"/>
    </row>
    <row r="46" spans="1:30" ht="12.75">
      <c r="A46" s="73"/>
      <c r="B46" s="161"/>
      <c r="C46" s="84"/>
      <c r="D46" s="146"/>
      <c r="E46" s="143"/>
      <c r="F46" s="146"/>
      <c r="G46" s="143"/>
      <c r="H46" s="146"/>
      <c r="I46" s="143"/>
      <c r="J46" s="146"/>
      <c r="K46" s="143"/>
      <c r="L46" s="147"/>
      <c r="M46" s="142"/>
      <c r="N46" s="146"/>
      <c r="O46" s="143"/>
      <c r="P46" s="146"/>
      <c r="Q46" s="143"/>
      <c r="R46" s="146"/>
      <c r="S46" s="143"/>
      <c r="T46" s="147"/>
      <c r="U46" s="142"/>
      <c r="V46" s="146"/>
      <c r="W46" s="143"/>
      <c r="X46" s="146"/>
      <c r="Y46" s="143"/>
      <c r="Z46" s="146"/>
      <c r="AA46" s="143"/>
      <c r="AB46" s="147"/>
      <c r="AC46" s="142"/>
      <c r="AD46" s="148"/>
    </row>
    <row r="47" spans="1:30" ht="12.75">
      <c r="A47" s="73"/>
      <c r="B47" s="161"/>
      <c r="C47" s="84"/>
      <c r="D47" s="146"/>
      <c r="E47" s="143"/>
      <c r="F47" s="146"/>
      <c r="G47" s="143"/>
      <c r="H47" s="146"/>
      <c r="I47" s="143"/>
      <c r="J47" s="146"/>
      <c r="K47" s="143"/>
      <c r="L47" s="147"/>
      <c r="M47" s="142"/>
      <c r="N47" s="146"/>
      <c r="O47" s="143"/>
      <c r="P47" s="146"/>
      <c r="Q47" s="143"/>
      <c r="R47" s="146"/>
      <c r="S47" s="143"/>
      <c r="T47" s="147"/>
      <c r="U47" s="142"/>
      <c r="V47" s="146"/>
      <c r="W47" s="143"/>
      <c r="X47" s="146"/>
      <c r="Y47" s="143"/>
      <c r="Z47" s="146"/>
      <c r="AA47" s="143"/>
      <c r="AB47" s="147"/>
      <c r="AC47" s="142"/>
      <c r="AD47" s="148"/>
    </row>
    <row r="48" spans="1:30" ht="12.75">
      <c r="A48" s="73"/>
      <c r="B48" s="161"/>
      <c r="C48" s="84"/>
      <c r="D48" s="146"/>
      <c r="E48" s="143"/>
      <c r="F48" s="146"/>
      <c r="G48" s="143"/>
      <c r="H48" s="146"/>
      <c r="I48" s="143"/>
      <c r="J48" s="146"/>
      <c r="K48" s="143"/>
      <c r="L48" s="147"/>
      <c r="M48" s="142"/>
      <c r="N48" s="146"/>
      <c r="O48" s="143"/>
      <c r="P48" s="146"/>
      <c r="Q48" s="143"/>
      <c r="R48" s="146"/>
      <c r="S48" s="143"/>
      <c r="T48" s="147"/>
      <c r="U48" s="142"/>
      <c r="V48" s="146"/>
      <c r="W48" s="143"/>
      <c r="X48" s="146"/>
      <c r="Y48" s="143"/>
      <c r="Z48" s="146"/>
      <c r="AA48" s="143"/>
      <c r="AB48" s="147"/>
      <c r="AC48" s="142"/>
      <c r="AD48" s="148"/>
    </row>
    <row r="49" spans="1:30" ht="12.75">
      <c r="A49" s="73"/>
      <c r="B49" s="161"/>
      <c r="C49" s="84"/>
      <c r="D49" s="146"/>
      <c r="E49" s="143"/>
      <c r="F49" s="146"/>
      <c r="G49" s="143"/>
      <c r="H49" s="146"/>
      <c r="I49" s="143"/>
      <c r="J49" s="146"/>
      <c r="K49" s="143"/>
      <c r="L49" s="147"/>
      <c r="M49" s="142"/>
      <c r="N49" s="146"/>
      <c r="O49" s="143"/>
      <c r="P49" s="146"/>
      <c r="Q49" s="143"/>
      <c r="R49" s="146"/>
      <c r="S49" s="143"/>
      <c r="T49" s="147"/>
      <c r="U49" s="142"/>
      <c r="V49" s="146"/>
      <c r="W49" s="143"/>
      <c r="X49" s="146"/>
      <c r="Y49" s="143"/>
      <c r="Z49" s="146"/>
      <c r="AA49" s="143"/>
      <c r="AB49" s="147"/>
      <c r="AC49" s="142"/>
      <c r="AD49" s="148"/>
    </row>
    <row r="50" spans="1:30" ht="12.75">
      <c r="A50" s="73"/>
      <c r="B50" s="161"/>
      <c r="C50" s="84"/>
      <c r="D50" s="146"/>
      <c r="E50" s="143"/>
      <c r="F50" s="146"/>
      <c r="G50" s="143"/>
      <c r="H50" s="146"/>
      <c r="I50" s="143"/>
      <c r="J50" s="146"/>
      <c r="K50" s="143"/>
      <c r="L50" s="147"/>
      <c r="M50" s="142"/>
      <c r="N50" s="146"/>
      <c r="O50" s="143"/>
      <c r="P50" s="146"/>
      <c r="Q50" s="143"/>
      <c r="R50" s="146"/>
      <c r="S50" s="143"/>
      <c r="T50" s="147"/>
      <c r="U50" s="142"/>
      <c r="V50" s="146"/>
      <c r="W50" s="143"/>
      <c r="X50" s="146"/>
      <c r="Y50" s="143"/>
      <c r="Z50" s="146"/>
      <c r="AA50" s="143"/>
      <c r="AB50" s="147"/>
      <c r="AC50" s="142"/>
      <c r="AD50" s="148"/>
    </row>
    <row r="51" spans="1:30" ht="12.75">
      <c r="A51" s="73"/>
      <c r="B51" s="161"/>
      <c r="C51" s="84"/>
      <c r="D51" s="146"/>
      <c r="E51" s="143"/>
      <c r="F51" s="146"/>
      <c r="G51" s="143"/>
      <c r="H51" s="146"/>
      <c r="I51" s="143"/>
      <c r="J51" s="146"/>
      <c r="K51" s="143"/>
      <c r="L51" s="147"/>
      <c r="M51" s="142"/>
      <c r="N51" s="146"/>
      <c r="O51" s="143"/>
      <c r="P51" s="146"/>
      <c r="Q51" s="143"/>
      <c r="R51" s="146"/>
      <c r="S51" s="143"/>
      <c r="T51" s="147"/>
      <c r="U51" s="142"/>
      <c r="V51" s="146"/>
      <c r="W51" s="143"/>
      <c r="X51" s="146"/>
      <c r="Y51" s="143"/>
      <c r="Z51" s="146"/>
      <c r="AA51" s="143"/>
      <c r="AB51" s="147"/>
      <c r="AC51" s="142"/>
      <c r="AD51" s="148"/>
    </row>
    <row r="52" spans="1:30" ht="12.75">
      <c r="A52" s="73"/>
      <c r="B52" s="161"/>
      <c r="C52" s="84"/>
      <c r="D52" s="146"/>
      <c r="E52" s="143"/>
      <c r="F52" s="146"/>
      <c r="G52" s="143"/>
      <c r="H52" s="146"/>
      <c r="I52" s="143"/>
      <c r="J52" s="146"/>
      <c r="K52" s="143"/>
      <c r="L52" s="147"/>
      <c r="M52" s="142"/>
      <c r="N52" s="146"/>
      <c r="O52" s="143"/>
      <c r="P52" s="146"/>
      <c r="Q52" s="143"/>
      <c r="R52" s="146"/>
      <c r="S52" s="143"/>
      <c r="T52" s="147"/>
      <c r="U52" s="142"/>
      <c r="V52" s="146"/>
      <c r="W52" s="143"/>
      <c r="X52" s="146"/>
      <c r="Y52" s="143"/>
      <c r="Z52" s="146"/>
      <c r="AA52" s="143"/>
      <c r="AB52" s="147"/>
      <c r="AC52" s="142"/>
      <c r="AD52" s="148"/>
    </row>
    <row r="53" spans="1:30" ht="12.75">
      <c r="A53" s="73"/>
      <c r="B53" s="161"/>
      <c r="C53" s="84"/>
      <c r="D53" s="146"/>
      <c r="E53" s="143"/>
      <c r="F53" s="146"/>
      <c r="G53" s="143"/>
      <c r="H53" s="146"/>
      <c r="I53" s="143"/>
      <c r="J53" s="146"/>
      <c r="K53" s="143"/>
      <c r="L53" s="147"/>
      <c r="M53" s="142"/>
      <c r="N53" s="146"/>
      <c r="O53" s="143"/>
      <c r="P53" s="146"/>
      <c r="Q53" s="143"/>
      <c r="R53" s="146"/>
      <c r="S53" s="143"/>
      <c r="T53" s="147"/>
      <c r="U53" s="142"/>
      <c r="V53" s="146"/>
      <c r="W53" s="143"/>
      <c r="X53" s="146"/>
      <c r="Y53" s="143"/>
      <c r="Z53" s="146"/>
      <c r="AA53" s="143"/>
      <c r="AB53" s="147"/>
      <c r="AC53" s="142"/>
      <c r="AD53" s="148"/>
    </row>
    <row r="54" spans="1:30" ht="12.75">
      <c r="A54" s="73"/>
      <c r="B54" s="161"/>
      <c r="C54" s="84"/>
      <c r="D54" s="146"/>
      <c r="E54" s="143"/>
      <c r="F54" s="146"/>
      <c r="G54" s="143"/>
      <c r="H54" s="146"/>
      <c r="I54" s="143"/>
      <c r="J54" s="146"/>
      <c r="K54" s="143"/>
      <c r="L54" s="147"/>
      <c r="M54" s="142"/>
      <c r="N54" s="146"/>
      <c r="O54" s="143"/>
      <c r="P54" s="146"/>
      <c r="Q54" s="143"/>
      <c r="R54" s="146"/>
      <c r="S54" s="143"/>
      <c r="T54" s="147"/>
      <c r="U54" s="142"/>
      <c r="V54" s="146"/>
      <c r="W54" s="143"/>
      <c r="X54" s="146"/>
      <c r="Y54" s="143"/>
      <c r="Z54" s="146"/>
      <c r="AA54" s="143"/>
      <c r="AB54" s="147"/>
      <c r="AC54" s="142"/>
      <c r="AD54" s="148"/>
    </row>
    <row r="55" spans="1:30" ht="12.75">
      <c r="A55" s="73"/>
      <c r="B55" s="161"/>
      <c r="C55" s="84"/>
      <c r="D55" s="146"/>
      <c r="E55" s="143"/>
      <c r="F55" s="146"/>
      <c r="G55" s="143"/>
      <c r="H55" s="146"/>
      <c r="I55" s="143"/>
      <c r="J55" s="146"/>
      <c r="K55" s="143"/>
      <c r="L55" s="147"/>
      <c r="M55" s="142"/>
      <c r="N55" s="146"/>
      <c r="O55" s="143"/>
      <c r="P55" s="146"/>
      <c r="Q55" s="143"/>
      <c r="R55" s="146"/>
      <c r="S55" s="143"/>
      <c r="T55" s="147"/>
      <c r="U55" s="142"/>
      <c r="V55" s="146"/>
      <c r="W55" s="143"/>
      <c r="X55" s="146"/>
      <c r="Y55" s="143"/>
      <c r="Z55" s="146"/>
      <c r="AA55" s="143"/>
      <c r="AB55" s="147"/>
      <c r="AC55" s="142"/>
      <c r="AD55" s="148"/>
    </row>
    <row r="56" spans="1:30" ht="12.75">
      <c r="A56" s="73"/>
      <c r="B56" s="161"/>
      <c r="C56" s="84"/>
      <c r="D56" s="146"/>
      <c r="E56" s="143"/>
      <c r="F56" s="146"/>
      <c r="G56" s="143"/>
      <c r="H56" s="146"/>
      <c r="I56" s="143"/>
      <c r="J56" s="146"/>
      <c r="K56" s="143"/>
      <c r="L56" s="147"/>
      <c r="M56" s="142"/>
      <c r="N56" s="146"/>
      <c r="O56" s="143"/>
      <c r="P56" s="146"/>
      <c r="Q56" s="143"/>
      <c r="R56" s="146"/>
      <c r="S56" s="143"/>
      <c r="T56" s="147"/>
      <c r="U56" s="142"/>
      <c r="V56" s="146"/>
      <c r="W56" s="143"/>
      <c r="X56" s="146"/>
      <c r="Y56" s="143"/>
      <c r="Z56" s="146"/>
      <c r="AA56" s="143"/>
      <c r="AB56" s="147"/>
      <c r="AC56" s="142"/>
      <c r="AD56" s="148"/>
    </row>
    <row r="57" spans="1:30" ht="12.75">
      <c r="A57" s="73"/>
      <c r="B57" s="161"/>
      <c r="C57" s="84"/>
      <c r="D57" s="146"/>
      <c r="E57" s="143"/>
      <c r="F57" s="146"/>
      <c r="G57" s="143"/>
      <c r="H57" s="146"/>
      <c r="I57" s="143"/>
      <c r="J57" s="146"/>
      <c r="K57" s="143"/>
      <c r="L57" s="147"/>
      <c r="M57" s="142"/>
      <c r="N57" s="146"/>
      <c r="O57" s="143"/>
      <c r="P57" s="146"/>
      <c r="Q57" s="143"/>
      <c r="R57" s="146"/>
      <c r="S57" s="143"/>
      <c r="T57" s="147"/>
      <c r="U57" s="142"/>
      <c r="V57" s="146"/>
      <c r="W57" s="143"/>
      <c r="X57" s="146"/>
      <c r="Y57" s="143"/>
      <c r="Z57" s="146"/>
      <c r="AA57" s="143"/>
      <c r="AB57" s="147"/>
      <c r="AC57" s="142"/>
      <c r="AD57" s="148"/>
    </row>
    <row r="58" spans="1:30" ht="12.75">
      <c r="A58" s="73"/>
      <c r="B58" s="161"/>
      <c r="C58" s="84"/>
      <c r="D58" s="146"/>
      <c r="E58" s="143"/>
      <c r="F58" s="146"/>
      <c r="G58" s="143"/>
      <c r="H58" s="146"/>
      <c r="I58" s="143"/>
      <c r="J58" s="146"/>
      <c r="K58" s="143"/>
      <c r="L58" s="147"/>
      <c r="M58" s="142"/>
      <c r="N58" s="146"/>
      <c r="O58" s="143"/>
      <c r="P58" s="146"/>
      <c r="Q58" s="143"/>
      <c r="R58" s="146"/>
      <c r="S58" s="143"/>
      <c r="T58" s="147"/>
      <c r="U58" s="142"/>
      <c r="V58" s="146"/>
      <c r="W58" s="143"/>
      <c r="X58" s="146"/>
      <c r="Y58" s="143"/>
      <c r="Z58" s="146"/>
      <c r="AA58" s="143"/>
      <c r="AB58" s="147"/>
      <c r="AC58" s="142"/>
      <c r="AD58" s="148"/>
    </row>
    <row r="59" spans="1:30" ht="12.75">
      <c r="A59" s="73"/>
      <c r="B59" s="161"/>
      <c r="C59" s="84"/>
      <c r="D59" s="146"/>
      <c r="E59" s="143"/>
      <c r="F59" s="146"/>
      <c r="G59" s="143"/>
      <c r="H59" s="146"/>
      <c r="I59" s="143"/>
      <c r="J59" s="146"/>
      <c r="K59" s="143"/>
      <c r="L59" s="147"/>
      <c r="M59" s="142"/>
      <c r="N59" s="146"/>
      <c r="O59" s="143"/>
      <c r="P59" s="146"/>
      <c r="Q59" s="143"/>
      <c r="R59" s="146"/>
      <c r="S59" s="143"/>
      <c r="T59" s="147"/>
      <c r="U59" s="142"/>
      <c r="V59" s="146"/>
      <c r="W59" s="143"/>
      <c r="X59" s="146"/>
      <c r="Y59" s="143"/>
      <c r="Z59" s="146"/>
      <c r="AA59" s="143"/>
      <c r="AB59" s="147"/>
      <c r="AC59" s="142"/>
      <c r="AD59" s="148"/>
    </row>
    <row r="60" spans="1:30" ht="12.75">
      <c r="A60" s="73"/>
      <c r="B60" s="161"/>
      <c r="C60" s="84"/>
      <c r="D60" s="146"/>
      <c r="E60" s="143"/>
      <c r="F60" s="146"/>
      <c r="G60" s="143"/>
      <c r="H60" s="146"/>
      <c r="I60" s="143"/>
      <c r="J60" s="146"/>
      <c r="K60" s="143"/>
      <c r="L60" s="147"/>
      <c r="M60" s="142"/>
      <c r="N60" s="146"/>
      <c r="O60" s="143"/>
      <c r="P60" s="146"/>
      <c r="Q60" s="143"/>
      <c r="R60" s="146"/>
      <c r="S60" s="143"/>
      <c r="T60" s="147"/>
      <c r="U60" s="142"/>
      <c r="V60" s="146"/>
      <c r="W60" s="143"/>
      <c r="X60" s="146"/>
      <c r="Y60" s="143"/>
      <c r="Z60" s="146"/>
      <c r="AA60" s="143"/>
      <c r="AB60" s="147"/>
      <c r="AC60" s="142"/>
      <c r="AD60" s="148"/>
    </row>
    <row r="61" spans="1:30" ht="12.75">
      <c r="A61" s="73"/>
      <c r="B61" s="161"/>
      <c r="C61" s="84"/>
      <c r="D61" s="146"/>
      <c r="E61" s="143"/>
      <c r="F61" s="146"/>
      <c r="G61" s="143"/>
      <c r="H61" s="146"/>
      <c r="I61" s="143"/>
      <c r="J61" s="146"/>
      <c r="K61" s="143"/>
      <c r="L61" s="147"/>
      <c r="M61" s="142"/>
      <c r="N61" s="146"/>
      <c r="O61" s="143"/>
      <c r="P61" s="146"/>
      <c r="Q61" s="143"/>
      <c r="R61" s="146"/>
      <c r="S61" s="143"/>
      <c r="T61" s="147"/>
      <c r="U61" s="142"/>
      <c r="V61" s="146"/>
      <c r="W61" s="143"/>
      <c r="X61" s="146"/>
      <c r="Y61" s="143"/>
      <c r="Z61" s="146"/>
      <c r="AA61" s="143"/>
      <c r="AB61" s="147"/>
      <c r="AC61" s="142"/>
      <c r="AD61" s="148"/>
    </row>
    <row r="62" spans="1:30" ht="12.75">
      <c r="A62" s="73"/>
      <c r="B62" s="161"/>
      <c r="C62" s="84"/>
      <c r="D62" s="146"/>
      <c r="E62" s="143"/>
      <c r="F62" s="146"/>
      <c r="G62" s="143"/>
      <c r="H62" s="146"/>
      <c r="I62" s="143"/>
      <c r="J62" s="146"/>
      <c r="K62" s="143"/>
      <c r="L62" s="147"/>
      <c r="M62" s="142"/>
      <c r="N62" s="146"/>
      <c r="O62" s="143"/>
      <c r="P62" s="146"/>
      <c r="Q62" s="143"/>
      <c r="R62" s="146"/>
      <c r="S62" s="143"/>
      <c r="T62" s="147"/>
      <c r="U62" s="142"/>
      <c r="V62" s="146"/>
      <c r="W62" s="143"/>
      <c r="X62" s="146"/>
      <c r="Y62" s="143"/>
      <c r="Z62" s="146"/>
      <c r="AA62" s="143"/>
      <c r="AB62" s="147"/>
      <c r="AC62" s="142"/>
      <c r="AD62" s="148"/>
    </row>
    <row r="63" spans="1:30" ht="12.75">
      <c r="A63" s="73"/>
      <c r="B63" s="161"/>
      <c r="C63" s="84"/>
      <c r="D63" s="146"/>
      <c r="E63" s="143"/>
      <c r="F63" s="146"/>
      <c r="G63" s="143"/>
      <c r="H63" s="146"/>
      <c r="I63" s="143"/>
      <c r="J63" s="146"/>
      <c r="K63" s="143"/>
      <c r="L63" s="147"/>
      <c r="M63" s="142"/>
      <c r="N63" s="146"/>
      <c r="O63" s="143"/>
      <c r="P63" s="146"/>
      <c r="Q63" s="143"/>
      <c r="R63" s="146"/>
      <c r="S63" s="143"/>
      <c r="T63" s="147"/>
      <c r="U63" s="142"/>
      <c r="V63" s="146"/>
      <c r="W63" s="143"/>
      <c r="X63" s="146"/>
      <c r="Y63" s="143"/>
      <c r="Z63" s="146"/>
      <c r="AA63" s="143"/>
      <c r="AB63" s="147"/>
      <c r="AC63" s="142"/>
      <c r="AD63" s="148"/>
    </row>
    <row r="64" spans="1:30" ht="12.75">
      <c r="A64" s="73"/>
      <c r="B64" s="161"/>
      <c r="C64" s="84"/>
      <c r="D64" s="146"/>
      <c r="E64" s="143"/>
      <c r="F64" s="146"/>
      <c r="G64" s="143"/>
      <c r="H64" s="146"/>
      <c r="I64" s="143"/>
      <c r="J64" s="146"/>
      <c r="K64" s="143"/>
      <c r="L64" s="147"/>
      <c r="M64" s="142"/>
      <c r="N64" s="146"/>
      <c r="O64" s="143"/>
      <c r="P64" s="146"/>
      <c r="Q64" s="143"/>
      <c r="R64" s="146"/>
      <c r="S64" s="143"/>
      <c r="T64" s="147"/>
      <c r="U64" s="142"/>
      <c r="V64" s="146"/>
      <c r="W64" s="143"/>
      <c r="X64" s="146"/>
      <c r="Y64" s="143"/>
      <c r="Z64" s="146"/>
      <c r="AA64" s="143"/>
      <c r="AB64" s="147"/>
      <c r="AC64" s="142"/>
      <c r="AD64" s="148"/>
    </row>
    <row r="65" spans="1:30" ht="12.75">
      <c r="A65" s="73"/>
      <c r="B65" s="161"/>
      <c r="C65" s="84"/>
      <c r="D65" s="146"/>
      <c r="E65" s="143"/>
      <c r="F65" s="146"/>
      <c r="G65" s="143"/>
      <c r="H65" s="146"/>
      <c r="I65" s="143"/>
      <c r="J65" s="146"/>
      <c r="K65" s="143"/>
      <c r="L65" s="147"/>
      <c r="M65" s="142"/>
      <c r="N65" s="146"/>
      <c r="O65" s="143"/>
      <c r="P65" s="146"/>
      <c r="Q65" s="143"/>
      <c r="R65" s="146"/>
      <c r="S65" s="143"/>
      <c r="T65" s="147"/>
      <c r="U65" s="142"/>
      <c r="V65" s="146"/>
      <c r="W65" s="143"/>
      <c r="X65" s="146"/>
      <c r="Y65" s="143"/>
      <c r="Z65" s="146"/>
      <c r="AA65" s="143"/>
      <c r="AB65" s="147"/>
      <c r="AC65" s="142"/>
      <c r="AD65" s="148"/>
    </row>
    <row r="66" spans="1:30" ht="12.75">
      <c r="A66" s="73"/>
      <c r="B66" s="161"/>
      <c r="C66" s="84"/>
      <c r="D66" s="146"/>
      <c r="E66" s="143"/>
      <c r="F66" s="146"/>
      <c r="G66" s="143"/>
      <c r="H66" s="146"/>
      <c r="I66" s="143"/>
      <c r="J66" s="146"/>
      <c r="K66" s="143"/>
      <c r="L66" s="147"/>
      <c r="M66" s="142"/>
      <c r="N66" s="146"/>
      <c r="O66" s="143"/>
      <c r="P66" s="146"/>
      <c r="Q66" s="143"/>
      <c r="R66" s="146"/>
      <c r="S66" s="143"/>
      <c r="T66" s="147"/>
      <c r="U66" s="142"/>
      <c r="V66" s="146"/>
      <c r="W66" s="143"/>
      <c r="X66" s="146"/>
      <c r="Y66" s="143"/>
      <c r="Z66" s="146"/>
      <c r="AA66" s="143"/>
      <c r="AB66" s="147"/>
      <c r="AC66" s="142"/>
      <c r="AD66" s="148"/>
    </row>
    <row r="67" spans="1:30" ht="12.75">
      <c r="A67" s="73"/>
      <c r="B67" s="161"/>
      <c r="C67" s="84"/>
      <c r="D67" s="146"/>
      <c r="E67" s="143"/>
      <c r="F67" s="146"/>
      <c r="G67" s="143"/>
      <c r="H67" s="146"/>
      <c r="I67" s="143"/>
      <c r="J67" s="146"/>
      <c r="K67" s="143"/>
      <c r="L67" s="147"/>
      <c r="M67" s="142"/>
      <c r="N67" s="146"/>
      <c r="O67" s="143"/>
      <c r="P67" s="146"/>
      <c r="Q67" s="143"/>
      <c r="R67" s="146"/>
      <c r="S67" s="143"/>
      <c r="T67" s="147"/>
      <c r="U67" s="142"/>
      <c r="V67" s="146"/>
      <c r="W67" s="143"/>
      <c r="X67" s="146"/>
      <c r="Y67" s="143"/>
      <c r="Z67" s="146"/>
      <c r="AA67" s="143"/>
      <c r="AB67" s="147"/>
      <c r="AC67" s="142"/>
      <c r="AD67" s="148"/>
    </row>
    <row r="68" spans="1:30" ht="12.75">
      <c r="A68" s="73"/>
      <c r="B68" s="161"/>
      <c r="C68" s="84"/>
      <c r="D68" s="146"/>
      <c r="E68" s="143"/>
      <c r="F68" s="146"/>
      <c r="G68" s="143"/>
      <c r="H68" s="146"/>
      <c r="I68" s="143"/>
      <c r="J68" s="146"/>
      <c r="K68" s="143"/>
      <c r="L68" s="147"/>
      <c r="M68" s="142"/>
      <c r="N68" s="146"/>
      <c r="O68" s="143"/>
      <c r="P68" s="146"/>
      <c r="Q68" s="143"/>
      <c r="R68" s="146"/>
      <c r="S68" s="143"/>
      <c r="T68" s="147"/>
      <c r="U68" s="142"/>
      <c r="V68" s="146"/>
      <c r="W68" s="143"/>
      <c r="X68" s="146"/>
      <c r="Y68" s="143"/>
      <c r="Z68" s="146"/>
      <c r="AA68" s="143"/>
      <c r="AB68" s="147"/>
      <c r="AC68" s="142"/>
      <c r="AD68" s="148"/>
    </row>
    <row r="69" spans="1:30" ht="12.75">
      <c r="A69" s="73"/>
      <c r="B69" s="161"/>
      <c r="C69" s="84"/>
      <c r="D69" s="146"/>
      <c r="E69" s="143"/>
      <c r="F69" s="146"/>
      <c r="G69" s="143"/>
      <c r="H69" s="146"/>
      <c r="I69" s="143"/>
      <c r="J69" s="146"/>
      <c r="K69" s="143"/>
      <c r="L69" s="147"/>
      <c r="M69" s="142"/>
      <c r="N69" s="146"/>
      <c r="O69" s="143"/>
      <c r="P69" s="146"/>
      <c r="Q69" s="143"/>
      <c r="R69" s="146"/>
      <c r="S69" s="143"/>
      <c r="T69" s="147"/>
      <c r="U69" s="142"/>
      <c r="V69" s="146"/>
      <c r="W69" s="143"/>
      <c r="X69" s="146"/>
      <c r="Y69" s="143"/>
      <c r="Z69" s="146"/>
      <c r="AA69" s="143"/>
      <c r="AB69" s="147"/>
      <c r="AC69" s="142"/>
      <c r="AD69" s="148"/>
    </row>
    <row r="70" spans="1:30" ht="12.75">
      <c r="A70" s="73"/>
      <c r="B70" s="161"/>
      <c r="C70" s="84"/>
      <c r="D70" s="146"/>
      <c r="E70" s="143"/>
      <c r="F70" s="146"/>
      <c r="G70" s="143"/>
      <c r="H70" s="146"/>
      <c r="I70" s="143"/>
      <c r="J70" s="146"/>
      <c r="K70" s="143"/>
      <c r="L70" s="147"/>
      <c r="M70" s="142"/>
      <c r="N70" s="146"/>
      <c r="O70" s="143"/>
      <c r="P70" s="146"/>
      <c r="Q70" s="143"/>
      <c r="R70" s="146"/>
      <c r="S70" s="143"/>
      <c r="T70" s="147"/>
      <c r="U70" s="142"/>
      <c r="V70" s="146"/>
      <c r="W70" s="143"/>
      <c r="X70" s="146"/>
      <c r="Y70" s="143"/>
      <c r="Z70" s="146"/>
      <c r="AA70" s="143"/>
      <c r="AB70" s="147"/>
      <c r="AC70" s="142"/>
      <c r="AD70" s="148"/>
    </row>
    <row r="71" spans="1:30" ht="12.75">
      <c r="A71" s="73"/>
      <c r="B71" s="161"/>
      <c r="C71" s="84"/>
      <c r="D71" s="146"/>
      <c r="E71" s="143"/>
      <c r="F71" s="146"/>
      <c r="G71" s="143"/>
      <c r="H71" s="146"/>
      <c r="I71" s="143"/>
      <c r="J71" s="146"/>
      <c r="K71" s="143"/>
      <c r="L71" s="147"/>
      <c r="M71" s="142"/>
      <c r="N71" s="146"/>
      <c r="O71" s="143"/>
      <c r="P71" s="146"/>
      <c r="Q71" s="143"/>
      <c r="R71" s="146"/>
      <c r="S71" s="143"/>
      <c r="T71" s="147"/>
      <c r="U71" s="142"/>
      <c r="V71" s="146"/>
      <c r="W71" s="143"/>
      <c r="X71" s="146"/>
      <c r="Y71" s="143"/>
      <c r="Z71" s="146"/>
      <c r="AA71" s="143"/>
      <c r="AB71" s="147"/>
      <c r="AC71" s="142"/>
      <c r="AD71" s="148"/>
    </row>
    <row r="72" spans="1:30" ht="12.75">
      <c r="A72" s="73"/>
      <c r="B72" s="161"/>
      <c r="C72" s="84"/>
      <c r="D72" s="146"/>
      <c r="E72" s="143"/>
      <c r="F72" s="146"/>
      <c r="G72" s="143"/>
      <c r="H72" s="146"/>
      <c r="I72" s="143"/>
      <c r="J72" s="146"/>
      <c r="K72" s="143"/>
      <c r="L72" s="147"/>
      <c r="M72" s="142"/>
      <c r="N72" s="146"/>
      <c r="O72" s="143"/>
      <c r="P72" s="146"/>
      <c r="Q72" s="143"/>
      <c r="R72" s="146"/>
      <c r="S72" s="143"/>
      <c r="T72" s="147"/>
      <c r="U72" s="142"/>
      <c r="V72" s="146"/>
      <c r="W72" s="143"/>
      <c r="X72" s="146"/>
      <c r="Y72" s="143"/>
      <c r="Z72" s="146"/>
      <c r="AA72" s="143"/>
      <c r="AB72" s="147"/>
      <c r="AC72" s="142"/>
      <c r="AD72" s="148"/>
    </row>
    <row r="73" spans="1:30" ht="12.75">
      <c r="A73" s="73"/>
      <c r="B73" s="161"/>
      <c r="C73" s="84"/>
      <c r="D73" s="146"/>
      <c r="E73" s="143"/>
      <c r="F73" s="146"/>
      <c r="G73" s="143"/>
      <c r="H73" s="146"/>
      <c r="I73" s="143"/>
      <c r="J73" s="146"/>
      <c r="K73" s="143"/>
      <c r="L73" s="147"/>
      <c r="M73" s="142"/>
      <c r="N73" s="146"/>
      <c r="O73" s="143"/>
      <c r="P73" s="146"/>
      <c r="Q73" s="143"/>
      <c r="R73" s="146"/>
      <c r="S73" s="143"/>
      <c r="T73" s="147"/>
      <c r="U73" s="142"/>
      <c r="V73" s="146"/>
      <c r="W73" s="143"/>
      <c r="X73" s="146"/>
      <c r="Y73" s="143"/>
      <c r="Z73" s="146"/>
      <c r="AA73" s="143"/>
      <c r="AB73" s="147"/>
      <c r="AC73" s="142"/>
      <c r="AD73" s="148"/>
    </row>
    <row r="74" spans="1:30" ht="12.75">
      <c r="A74" s="73"/>
      <c r="B74" s="161"/>
      <c r="C74" s="84"/>
      <c r="D74" s="146"/>
      <c r="E74" s="143"/>
      <c r="F74" s="146"/>
      <c r="G74" s="143"/>
      <c r="H74" s="146"/>
      <c r="I74" s="143"/>
      <c r="J74" s="146"/>
      <c r="K74" s="143"/>
      <c r="L74" s="147"/>
      <c r="M74" s="142"/>
      <c r="N74" s="146"/>
      <c r="O74" s="143"/>
      <c r="P74" s="146"/>
      <c r="Q74" s="143"/>
      <c r="R74" s="146"/>
      <c r="S74" s="143"/>
      <c r="T74" s="147"/>
      <c r="U74" s="142"/>
      <c r="V74" s="146"/>
      <c r="W74" s="143"/>
      <c r="X74" s="146"/>
      <c r="Y74" s="143"/>
      <c r="Z74" s="146"/>
      <c r="AA74" s="143"/>
      <c r="AB74" s="147"/>
      <c r="AC74" s="142"/>
      <c r="AD74" s="148"/>
    </row>
    <row r="75" spans="1:30" ht="12.75">
      <c r="A75" s="73"/>
      <c r="B75" s="161"/>
      <c r="C75" s="84"/>
      <c r="D75" s="146"/>
      <c r="E75" s="143"/>
      <c r="F75" s="146"/>
      <c r="G75" s="143"/>
      <c r="H75" s="146"/>
      <c r="I75" s="143"/>
      <c r="J75" s="146"/>
      <c r="K75" s="143"/>
      <c r="L75" s="147"/>
      <c r="M75" s="142"/>
      <c r="N75" s="146"/>
      <c r="O75" s="143"/>
      <c r="P75" s="146"/>
      <c r="Q75" s="143"/>
      <c r="R75" s="146"/>
      <c r="S75" s="143"/>
      <c r="T75" s="147"/>
      <c r="U75" s="142"/>
      <c r="V75" s="146"/>
      <c r="W75" s="143"/>
      <c r="X75" s="146"/>
      <c r="Y75" s="143"/>
      <c r="Z75" s="146"/>
      <c r="AA75" s="143"/>
      <c r="AB75" s="147"/>
      <c r="AC75" s="142"/>
      <c r="AD75" s="148"/>
    </row>
    <row r="76" spans="1:30" ht="12.75">
      <c r="A76" s="73"/>
      <c r="B76" s="161"/>
      <c r="C76" s="84"/>
      <c r="D76" s="146"/>
      <c r="E76" s="143"/>
      <c r="F76" s="146"/>
      <c r="G76" s="143"/>
      <c r="H76" s="146"/>
      <c r="I76" s="143"/>
      <c r="J76" s="146"/>
      <c r="K76" s="143"/>
      <c r="L76" s="147"/>
      <c r="M76" s="142"/>
      <c r="N76" s="146"/>
      <c r="O76" s="143"/>
      <c r="P76" s="146"/>
      <c r="Q76" s="143"/>
      <c r="R76" s="146"/>
      <c r="S76" s="143"/>
      <c r="T76" s="147"/>
      <c r="U76" s="142"/>
      <c r="V76" s="146"/>
      <c r="W76" s="143"/>
      <c r="X76" s="146"/>
      <c r="Y76" s="143"/>
      <c r="Z76" s="146"/>
      <c r="AA76" s="143"/>
      <c r="AB76" s="147"/>
      <c r="AC76" s="142"/>
      <c r="AD76" s="148"/>
    </row>
    <row r="77" spans="1:30" ht="12.75">
      <c r="A77" s="73"/>
      <c r="B77" s="161"/>
      <c r="C77" s="84"/>
      <c r="D77" s="146"/>
      <c r="E77" s="143"/>
      <c r="F77" s="146"/>
      <c r="G77" s="143"/>
      <c r="H77" s="146"/>
      <c r="I77" s="143"/>
      <c r="J77" s="146"/>
      <c r="K77" s="143"/>
      <c r="L77" s="147"/>
      <c r="M77" s="142"/>
      <c r="N77" s="146"/>
      <c r="O77" s="143"/>
      <c r="P77" s="146"/>
      <c r="Q77" s="143"/>
      <c r="R77" s="146"/>
      <c r="S77" s="143"/>
      <c r="T77" s="147"/>
      <c r="U77" s="142"/>
      <c r="V77" s="146"/>
      <c r="W77" s="143"/>
      <c r="X77" s="146"/>
      <c r="Y77" s="143"/>
      <c r="Z77" s="146"/>
      <c r="AA77" s="143"/>
      <c r="AB77" s="147"/>
      <c r="AC77" s="142"/>
      <c r="AD77" s="148"/>
    </row>
    <row r="78" spans="1:30" ht="12.75">
      <c r="A78" s="73"/>
      <c r="B78" s="161"/>
      <c r="C78" s="84"/>
      <c r="D78" s="146"/>
      <c r="E78" s="143"/>
      <c r="F78" s="146"/>
      <c r="G78" s="143"/>
      <c r="H78" s="146"/>
      <c r="I78" s="143"/>
      <c r="J78" s="146"/>
      <c r="K78" s="143"/>
      <c r="L78" s="147"/>
      <c r="M78" s="142"/>
      <c r="N78" s="146"/>
      <c r="O78" s="143"/>
      <c r="P78" s="146"/>
      <c r="Q78" s="143"/>
      <c r="R78" s="146"/>
      <c r="S78" s="143"/>
      <c r="T78" s="147"/>
      <c r="U78" s="142"/>
      <c r="V78" s="146"/>
      <c r="W78" s="143"/>
      <c r="X78" s="146"/>
      <c r="Y78" s="143"/>
      <c r="Z78" s="146"/>
      <c r="AA78" s="143"/>
      <c r="AB78" s="147"/>
      <c r="AC78" s="142"/>
      <c r="AD78" s="148"/>
    </row>
    <row r="79" spans="1:30" ht="12.75">
      <c r="A79" s="73"/>
      <c r="B79" s="161"/>
      <c r="C79" s="84"/>
      <c r="D79" s="146"/>
      <c r="E79" s="143"/>
      <c r="F79" s="146"/>
      <c r="G79" s="143"/>
      <c r="H79" s="146"/>
      <c r="I79" s="143"/>
      <c r="J79" s="146"/>
      <c r="K79" s="143"/>
      <c r="L79" s="147"/>
      <c r="M79" s="142"/>
      <c r="N79" s="146"/>
      <c r="O79" s="143"/>
      <c r="P79" s="146"/>
      <c r="Q79" s="143"/>
      <c r="R79" s="146"/>
      <c r="S79" s="143"/>
      <c r="T79" s="147"/>
      <c r="U79" s="142"/>
      <c r="V79" s="146"/>
      <c r="W79" s="143"/>
      <c r="X79" s="146"/>
      <c r="Y79" s="143"/>
      <c r="Z79" s="146"/>
      <c r="AA79" s="143"/>
      <c r="AB79" s="147"/>
      <c r="AC79" s="142"/>
      <c r="AD79" s="148"/>
    </row>
    <row r="80" spans="1:30" ht="12.75">
      <c r="A80" s="73"/>
      <c r="B80" s="161"/>
      <c r="C80" s="84"/>
      <c r="D80" s="146"/>
      <c r="E80" s="143"/>
      <c r="F80" s="146"/>
      <c r="G80" s="143"/>
      <c r="H80" s="146"/>
      <c r="I80" s="143"/>
      <c r="J80" s="146"/>
      <c r="K80" s="143"/>
      <c r="L80" s="147"/>
      <c r="M80" s="142"/>
      <c r="N80" s="146"/>
      <c r="O80" s="143"/>
      <c r="P80" s="146"/>
      <c r="Q80" s="143"/>
      <c r="R80" s="146"/>
      <c r="S80" s="143"/>
      <c r="T80" s="147"/>
      <c r="U80" s="142"/>
      <c r="V80" s="146"/>
      <c r="W80" s="143"/>
      <c r="X80" s="146"/>
      <c r="Y80" s="143"/>
      <c r="Z80" s="146"/>
      <c r="AA80" s="143"/>
      <c r="AB80" s="147"/>
      <c r="AC80" s="142"/>
      <c r="AD80" s="148"/>
    </row>
    <row r="81" spans="1:30" ht="12.75">
      <c r="A81" s="73"/>
      <c r="B81" s="161"/>
      <c r="C81" s="84"/>
      <c r="D81" s="146"/>
      <c r="E81" s="143"/>
      <c r="F81" s="146"/>
      <c r="G81" s="143"/>
      <c r="H81" s="146"/>
      <c r="I81" s="143"/>
      <c r="J81" s="146"/>
      <c r="K81" s="143"/>
      <c r="L81" s="147"/>
      <c r="M81" s="142"/>
      <c r="N81" s="146"/>
      <c r="O81" s="143"/>
      <c r="P81" s="146"/>
      <c r="Q81" s="143"/>
      <c r="R81" s="146"/>
      <c r="S81" s="143"/>
      <c r="T81" s="147"/>
      <c r="U81" s="142"/>
      <c r="V81" s="146"/>
      <c r="W81" s="143"/>
      <c r="X81" s="146"/>
      <c r="Y81" s="143"/>
      <c r="Z81" s="146"/>
      <c r="AA81" s="143"/>
      <c r="AB81" s="147"/>
      <c r="AC81" s="142"/>
      <c r="AD81" s="148"/>
    </row>
    <row r="82" spans="1:30" ht="12.75">
      <c r="A82" s="73"/>
      <c r="B82" s="161"/>
      <c r="C82" s="84"/>
      <c r="D82" s="146"/>
      <c r="E82" s="143"/>
      <c r="F82" s="146"/>
      <c r="G82" s="143"/>
      <c r="H82" s="146"/>
      <c r="I82" s="143"/>
      <c r="J82" s="146"/>
      <c r="K82" s="143"/>
      <c r="L82" s="147"/>
      <c r="M82" s="142"/>
      <c r="N82" s="146"/>
      <c r="O82" s="143"/>
      <c r="P82" s="146"/>
      <c r="Q82" s="143"/>
      <c r="R82" s="146"/>
      <c r="S82" s="143"/>
      <c r="T82" s="147"/>
      <c r="U82" s="142"/>
      <c r="V82" s="146"/>
      <c r="W82" s="143"/>
      <c r="X82" s="146"/>
      <c r="Y82" s="143"/>
      <c r="Z82" s="146"/>
      <c r="AA82" s="143"/>
      <c r="AB82" s="147"/>
      <c r="AC82" s="142"/>
      <c r="AD82" s="148"/>
    </row>
    <row r="83" spans="1:30" ht="12.75">
      <c r="A83" s="73"/>
      <c r="B83" s="161"/>
      <c r="C83" s="84"/>
      <c r="D83" s="146"/>
      <c r="E83" s="143"/>
      <c r="F83" s="146"/>
      <c r="G83" s="143"/>
      <c r="H83" s="146"/>
      <c r="I83" s="143"/>
      <c r="J83" s="146"/>
      <c r="K83" s="143"/>
      <c r="L83" s="147"/>
      <c r="M83" s="142"/>
      <c r="N83" s="146"/>
      <c r="O83" s="143"/>
      <c r="P83" s="146"/>
      <c r="Q83" s="143"/>
      <c r="R83" s="146"/>
      <c r="S83" s="143"/>
      <c r="T83" s="147"/>
      <c r="U83" s="142"/>
      <c r="V83" s="146"/>
      <c r="W83" s="143"/>
      <c r="X83" s="146"/>
      <c r="Y83" s="143"/>
      <c r="Z83" s="146"/>
      <c r="AA83" s="143"/>
      <c r="AB83" s="147"/>
      <c r="AC83" s="142"/>
      <c r="AD83" s="148"/>
    </row>
    <row r="84" spans="1:30" ht="12.75">
      <c r="A84" s="73"/>
      <c r="B84" s="161"/>
      <c r="C84" s="84"/>
      <c r="D84" s="146"/>
      <c r="E84" s="143"/>
      <c r="F84" s="146"/>
      <c r="G84" s="143"/>
      <c r="H84" s="146"/>
      <c r="I84" s="143"/>
      <c r="J84" s="146"/>
      <c r="K84" s="143"/>
      <c r="L84" s="147"/>
      <c r="M84" s="142"/>
      <c r="N84" s="146"/>
      <c r="O84" s="143"/>
      <c r="P84" s="146"/>
      <c r="Q84" s="143"/>
      <c r="R84" s="146"/>
      <c r="S84" s="143"/>
      <c r="T84" s="147"/>
      <c r="U84" s="142"/>
      <c r="V84" s="146"/>
      <c r="W84" s="143"/>
      <c r="X84" s="146"/>
      <c r="Y84" s="143"/>
      <c r="Z84" s="146"/>
      <c r="AA84" s="143"/>
      <c r="AB84" s="147"/>
      <c r="AC84" s="142"/>
      <c r="AD84" s="148"/>
    </row>
    <row r="85" spans="1:30" ht="12.75">
      <c r="A85" s="73"/>
      <c r="B85" s="161"/>
      <c r="C85" s="84"/>
      <c r="D85" s="146"/>
      <c r="E85" s="143"/>
      <c r="F85" s="146"/>
      <c r="G85" s="143"/>
      <c r="H85" s="146"/>
      <c r="I85" s="143"/>
      <c r="J85" s="146"/>
      <c r="K85" s="143"/>
      <c r="L85" s="147"/>
      <c r="M85" s="142"/>
      <c r="N85" s="146"/>
      <c r="O85" s="143"/>
      <c r="P85" s="146"/>
      <c r="Q85" s="143"/>
      <c r="R85" s="146"/>
      <c r="S85" s="143"/>
      <c r="T85" s="147"/>
      <c r="U85" s="142"/>
      <c r="V85" s="146"/>
      <c r="W85" s="143"/>
      <c r="X85" s="146"/>
      <c r="Y85" s="143"/>
      <c r="Z85" s="146"/>
      <c r="AA85" s="143"/>
      <c r="AB85" s="147"/>
      <c r="AC85" s="142"/>
      <c r="AD85" s="148"/>
    </row>
    <row r="86" spans="1:30" ht="12.75">
      <c r="A86" s="73"/>
      <c r="B86" s="161"/>
      <c r="C86" s="84"/>
      <c r="D86" s="146"/>
      <c r="E86" s="143"/>
      <c r="F86" s="146"/>
      <c r="G86" s="143"/>
      <c r="H86" s="146"/>
      <c r="I86" s="143"/>
      <c r="J86" s="146"/>
      <c r="K86" s="143"/>
      <c r="L86" s="147"/>
      <c r="M86" s="142"/>
      <c r="N86" s="146"/>
      <c r="O86" s="143"/>
      <c r="P86" s="146"/>
      <c r="Q86" s="143"/>
      <c r="R86" s="146"/>
      <c r="S86" s="143"/>
      <c r="T86" s="147"/>
      <c r="U86" s="142"/>
      <c r="V86" s="146"/>
      <c r="W86" s="143"/>
      <c r="X86" s="146"/>
      <c r="Y86" s="143"/>
      <c r="Z86" s="146"/>
      <c r="AA86" s="143"/>
      <c r="AB86" s="147"/>
      <c r="AC86" s="142"/>
      <c r="AD86" s="148"/>
    </row>
    <row r="87" spans="1:30" ht="12.75">
      <c r="A87" s="73"/>
      <c r="B87" s="161"/>
      <c r="C87" s="84"/>
      <c r="D87" s="146"/>
      <c r="E87" s="143"/>
      <c r="F87" s="146"/>
      <c r="G87" s="143"/>
      <c r="H87" s="146"/>
      <c r="I87" s="143"/>
      <c r="J87" s="146"/>
      <c r="K87" s="143"/>
      <c r="L87" s="147"/>
      <c r="M87" s="142"/>
      <c r="N87" s="146"/>
      <c r="O87" s="143"/>
      <c r="P87" s="146"/>
      <c r="Q87" s="143"/>
      <c r="R87" s="146"/>
      <c r="S87" s="143"/>
      <c r="T87" s="147"/>
      <c r="U87" s="142"/>
      <c r="V87" s="146"/>
      <c r="W87" s="143"/>
      <c r="X87" s="146"/>
      <c r="Y87" s="143"/>
      <c r="Z87" s="146"/>
      <c r="AA87" s="143"/>
      <c r="AB87" s="147"/>
      <c r="AC87" s="142"/>
      <c r="AD87" s="148"/>
    </row>
    <row r="88" spans="1:30" ht="12.75">
      <c r="A88" s="73"/>
      <c r="B88" s="161"/>
      <c r="C88" s="84"/>
      <c r="D88" s="146"/>
      <c r="E88" s="143"/>
      <c r="F88" s="146"/>
      <c r="G88" s="143"/>
      <c r="H88" s="146"/>
      <c r="I88" s="143"/>
      <c r="J88" s="146"/>
      <c r="K88" s="143"/>
      <c r="L88" s="147"/>
      <c r="M88" s="142"/>
      <c r="N88" s="146"/>
      <c r="O88" s="143"/>
      <c r="P88" s="146"/>
      <c r="Q88" s="143"/>
      <c r="R88" s="146"/>
      <c r="S88" s="143"/>
      <c r="T88" s="147"/>
      <c r="U88" s="142"/>
      <c r="V88" s="146"/>
      <c r="W88" s="143"/>
      <c r="X88" s="146"/>
      <c r="Y88" s="143"/>
      <c r="Z88" s="146"/>
      <c r="AA88" s="143"/>
      <c r="AB88" s="147"/>
      <c r="AC88" s="142"/>
      <c r="AD88" s="148"/>
    </row>
    <row r="89" spans="1:30" ht="12.75">
      <c r="A89" s="73"/>
      <c r="B89" s="161"/>
      <c r="C89" s="84"/>
      <c r="D89" s="146"/>
      <c r="E89" s="143"/>
      <c r="F89" s="146"/>
      <c r="G89" s="143"/>
      <c r="H89" s="146"/>
      <c r="I89" s="143"/>
      <c r="J89" s="146"/>
      <c r="K89" s="143"/>
      <c r="L89" s="147"/>
      <c r="M89" s="142"/>
      <c r="N89" s="146"/>
      <c r="O89" s="143"/>
      <c r="P89" s="146"/>
      <c r="Q89" s="143"/>
      <c r="R89" s="146"/>
      <c r="S89" s="143"/>
      <c r="T89" s="147"/>
      <c r="U89" s="142"/>
      <c r="V89" s="146"/>
      <c r="W89" s="143"/>
      <c r="X89" s="146"/>
      <c r="Y89" s="143"/>
      <c r="Z89" s="146"/>
      <c r="AA89" s="143"/>
      <c r="AB89" s="147"/>
      <c r="AC89" s="142"/>
      <c r="AD89" s="148"/>
    </row>
    <row r="90" spans="1:30" ht="12.75">
      <c r="A90" s="73"/>
      <c r="B90" s="161"/>
      <c r="C90" s="84"/>
      <c r="D90" s="146"/>
      <c r="E90" s="143"/>
      <c r="F90" s="146"/>
      <c r="G90" s="143"/>
      <c r="H90" s="146"/>
      <c r="I90" s="143"/>
      <c r="J90" s="146"/>
      <c r="K90" s="143"/>
      <c r="L90" s="147"/>
      <c r="M90" s="142"/>
      <c r="N90" s="146"/>
      <c r="O90" s="143"/>
      <c r="P90" s="146"/>
      <c r="Q90" s="143"/>
      <c r="R90" s="146"/>
      <c r="S90" s="143"/>
      <c r="T90" s="147"/>
      <c r="U90" s="142"/>
      <c r="V90" s="146"/>
      <c r="W90" s="143"/>
      <c r="X90" s="146"/>
      <c r="Y90" s="143"/>
      <c r="Z90" s="146"/>
      <c r="AA90" s="143"/>
      <c r="AB90" s="147"/>
      <c r="AC90" s="142"/>
      <c r="AD90" s="148"/>
    </row>
    <row r="91" spans="1:30" ht="12.75">
      <c r="A91" s="73"/>
      <c r="B91" s="161"/>
      <c r="C91" s="84"/>
      <c r="D91" s="146"/>
      <c r="E91" s="143"/>
      <c r="F91" s="146"/>
      <c r="G91" s="143"/>
      <c r="H91" s="146"/>
      <c r="I91" s="143"/>
      <c r="J91" s="146"/>
      <c r="K91" s="143"/>
      <c r="L91" s="147"/>
      <c r="M91" s="142"/>
      <c r="N91" s="146"/>
      <c r="O91" s="143"/>
      <c r="P91" s="146"/>
      <c r="Q91" s="143"/>
      <c r="R91" s="146"/>
      <c r="S91" s="143"/>
      <c r="T91" s="147"/>
      <c r="U91" s="142"/>
      <c r="V91" s="146"/>
      <c r="W91" s="143"/>
      <c r="X91" s="146"/>
      <c r="Y91" s="143"/>
      <c r="Z91" s="146"/>
      <c r="AA91" s="143"/>
      <c r="AB91" s="147"/>
      <c r="AC91" s="142"/>
      <c r="AD91" s="148"/>
    </row>
    <row r="92" spans="1:30" ht="12.75">
      <c r="A92" s="73"/>
      <c r="B92" s="161"/>
      <c r="C92" s="84"/>
      <c r="D92" s="146"/>
      <c r="E92" s="143"/>
      <c r="F92" s="146"/>
      <c r="G92" s="143"/>
      <c r="H92" s="146"/>
      <c r="I92" s="143"/>
      <c r="J92" s="146"/>
      <c r="K92" s="143"/>
      <c r="L92" s="147"/>
      <c r="M92" s="142"/>
      <c r="N92" s="146"/>
      <c r="O92" s="143"/>
      <c r="P92" s="146"/>
      <c r="Q92" s="143"/>
      <c r="R92" s="146"/>
      <c r="S92" s="143"/>
      <c r="T92" s="147"/>
      <c r="U92" s="142"/>
      <c r="V92" s="146"/>
      <c r="W92" s="143"/>
      <c r="X92" s="146"/>
      <c r="Y92" s="143"/>
      <c r="Z92" s="146"/>
      <c r="AA92" s="143"/>
      <c r="AB92" s="147"/>
      <c r="AC92" s="142"/>
      <c r="AD92" s="148"/>
    </row>
    <row r="93" spans="1:30" ht="12.75">
      <c r="A93" s="73"/>
      <c r="B93" s="161"/>
      <c r="C93" s="84"/>
      <c r="D93" s="146"/>
      <c r="E93" s="143"/>
      <c r="F93" s="146"/>
      <c r="G93" s="143"/>
      <c r="H93" s="146"/>
      <c r="I93" s="143"/>
      <c r="J93" s="146"/>
      <c r="K93" s="143"/>
      <c r="L93" s="147"/>
      <c r="M93" s="142"/>
      <c r="N93" s="146"/>
      <c r="O93" s="143"/>
      <c r="P93" s="146"/>
      <c r="Q93" s="143"/>
      <c r="R93" s="146"/>
      <c r="S93" s="143"/>
      <c r="T93" s="147"/>
      <c r="U93" s="142"/>
      <c r="V93" s="146"/>
      <c r="W93" s="143"/>
      <c r="X93" s="146"/>
      <c r="Y93" s="143"/>
      <c r="Z93" s="146"/>
      <c r="AA93" s="143"/>
      <c r="AB93" s="147"/>
      <c r="AC93" s="142"/>
      <c r="AD93" s="148"/>
    </row>
    <row r="94" spans="1:30" ht="12.75">
      <c r="A94" s="73"/>
      <c r="B94" s="161"/>
      <c r="C94" s="84"/>
      <c r="D94" s="146"/>
      <c r="E94" s="143"/>
      <c r="F94" s="146"/>
      <c r="G94" s="143"/>
      <c r="H94" s="146"/>
      <c r="I94" s="143"/>
      <c r="J94" s="146"/>
      <c r="K94" s="143"/>
      <c r="L94" s="147"/>
      <c r="M94" s="142"/>
      <c r="N94" s="146"/>
      <c r="O94" s="143"/>
      <c r="P94" s="146"/>
      <c r="Q94" s="143"/>
      <c r="R94" s="146"/>
      <c r="S94" s="143"/>
      <c r="T94" s="147"/>
      <c r="U94" s="142"/>
      <c r="V94" s="146"/>
      <c r="W94" s="143"/>
      <c r="X94" s="146"/>
      <c r="Y94" s="143"/>
      <c r="Z94" s="146"/>
      <c r="AA94" s="143"/>
      <c r="AB94" s="147"/>
      <c r="AC94" s="142"/>
      <c r="AD94" s="148"/>
    </row>
    <row r="95" spans="1:30" ht="12.75">
      <c r="A95" s="73"/>
      <c r="B95" s="161"/>
      <c r="C95" s="84"/>
      <c r="D95" s="146"/>
      <c r="E95" s="143"/>
      <c r="F95" s="146"/>
      <c r="G95" s="143"/>
      <c r="H95" s="146"/>
      <c r="I95" s="143"/>
      <c r="J95" s="146"/>
      <c r="K95" s="143"/>
      <c r="L95" s="147"/>
      <c r="M95" s="142"/>
      <c r="N95" s="146"/>
      <c r="O95" s="143"/>
      <c r="P95" s="146"/>
      <c r="Q95" s="143"/>
      <c r="R95" s="146"/>
      <c r="S95" s="143"/>
      <c r="T95" s="147"/>
      <c r="U95" s="142"/>
      <c r="V95" s="146"/>
      <c r="W95" s="143"/>
      <c r="X95" s="146"/>
      <c r="Y95" s="143"/>
      <c r="Z95" s="146"/>
      <c r="AA95" s="143"/>
      <c r="AB95" s="147"/>
      <c r="AC95" s="142"/>
      <c r="AD95" s="148"/>
    </row>
    <row r="96" spans="1:30" ht="12.75">
      <c r="A96" s="73"/>
      <c r="B96" s="161"/>
      <c r="C96" s="84"/>
      <c r="D96" s="146"/>
      <c r="E96" s="143"/>
      <c r="F96" s="146"/>
      <c r="G96" s="143"/>
      <c r="H96" s="146"/>
      <c r="I96" s="143"/>
      <c r="J96" s="146"/>
      <c r="K96" s="143"/>
      <c r="L96" s="147"/>
      <c r="M96" s="142"/>
      <c r="N96" s="146"/>
      <c r="O96" s="143"/>
      <c r="P96" s="146"/>
      <c r="Q96" s="143"/>
      <c r="R96" s="146"/>
      <c r="S96" s="143"/>
      <c r="T96" s="147"/>
      <c r="U96" s="142"/>
      <c r="V96" s="146"/>
      <c r="W96" s="143"/>
      <c r="X96" s="146"/>
      <c r="Y96" s="143"/>
      <c r="Z96" s="146"/>
      <c r="AA96" s="143"/>
      <c r="AB96" s="147"/>
      <c r="AC96" s="142"/>
      <c r="AD96" s="148"/>
    </row>
    <row r="97" spans="1:30" ht="12.75">
      <c r="A97" s="73"/>
      <c r="B97" s="161"/>
      <c r="C97" s="84"/>
      <c r="D97" s="146"/>
      <c r="E97" s="143"/>
      <c r="F97" s="146"/>
      <c r="G97" s="143"/>
      <c r="H97" s="146"/>
      <c r="I97" s="143"/>
      <c r="J97" s="146"/>
      <c r="K97" s="143"/>
      <c r="L97" s="147"/>
      <c r="M97" s="142"/>
      <c r="N97" s="146"/>
      <c r="O97" s="143"/>
      <c r="P97" s="146"/>
      <c r="Q97" s="143"/>
      <c r="R97" s="146"/>
      <c r="S97" s="143"/>
      <c r="T97" s="147"/>
      <c r="U97" s="142"/>
      <c r="V97" s="146"/>
      <c r="W97" s="143"/>
      <c r="X97" s="146"/>
      <c r="Y97" s="143"/>
      <c r="Z97" s="146"/>
      <c r="AA97" s="143"/>
      <c r="AB97" s="147"/>
      <c r="AC97" s="142"/>
      <c r="AD97" s="148"/>
    </row>
    <row r="98" spans="1:30" ht="12.75">
      <c r="A98" s="73"/>
      <c r="B98" s="161"/>
      <c r="C98" s="84"/>
      <c r="D98" s="146"/>
      <c r="E98" s="143"/>
      <c r="F98" s="146"/>
      <c r="G98" s="143"/>
      <c r="H98" s="146"/>
      <c r="I98" s="143"/>
      <c r="J98" s="146"/>
      <c r="K98" s="143"/>
      <c r="L98" s="147"/>
      <c r="M98" s="142"/>
      <c r="N98" s="146"/>
      <c r="O98" s="143"/>
      <c r="P98" s="146"/>
      <c r="Q98" s="143"/>
      <c r="R98" s="146"/>
      <c r="S98" s="143"/>
      <c r="T98" s="147"/>
      <c r="U98" s="142"/>
      <c r="V98" s="146"/>
      <c r="W98" s="143"/>
      <c r="X98" s="146"/>
      <c r="Y98" s="143"/>
      <c r="Z98" s="146"/>
      <c r="AA98" s="143"/>
      <c r="AB98" s="147"/>
      <c r="AC98" s="142"/>
      <c r="AD98" s="148"/>
    </row>
    <row r="99" spans="1:30" ht="12.75">
      <c r="A99" s="73"/>
      <c r="B99" s="161"/>
      <c r="C99" s="84"/>
      <c r="D99" s="146"/>
      <c r="E99" s="143"/>
      <c r="F99" s="146"/>
      <c r="G99" s="143"/>
      <c r="H99" s="146"/>
      <c r="I99" s="143"/>
      <c r="J99" s="146"/>
      <c r="K99" s="143"/>
      <c r="L99" s="147"/>
      <c r="M99" s="142"/>
      <c r="N99" s="146"/>
      <c r="O99" s="143"/>
      <c r="P99" s="146"/>
      <c r="Q99" s="143"/>
      <c r="R99" s="146"/>
      <c r="S99" s="143"/>
      <c r="T99" s="147"/>
      <c r="U99" s="142"/>
      <c r="V99" s="146"/>
      <c r="W99" s="143"/>
      <c r="X99" s="146"/>
      <c r="Y99" s="143"/>
      <c r="Z99" s="146"/>
      <c r="AA99" s="143"/>
      <c r="AB99" s="147"/>
      <c r="AC99" s="142"/>
      <c r="AD99" s="148"/>
    </row>
    <row r="100" spans="1:30" ht="12.75">
      <c r="A100" s="73"/>
      <c r="B100" s="161"/>
      <c r="C100" s="84"/>
      <c r="D100" s="146"/>
      <c r="E100" s="143"/>
      <c r="F100" s="146"/>
      <c r="G100" s="143"/>
      <c r="H100" s="146"/>
      <c r="I100" s="143"/>
      <c r="J100" s="146"/>
      <c r="K100" s="143"/>
      <c r="L100" s="147"/>
      <c r="M100" s="142"/>
      <c r="N100" s="146"/>
      <c r="O100" s="143"/>
      <c r="P100" s="146"/>
      <c r="Q100" s="143"/>
      <c r="R100" s="146"/>
      <c r="S100" s="143"/>
      <c r="T100" s="147"/>
      <c r="U100" s="142"/>
      <c r="V100" s="146"/>
      <c r="W100" s="143"/>
      <c r="X100" s="146"/>
      <c r="Y100" s="143"/>
      <c r="Z100" s="146"/>
      <c r="AA100" s="143"/>
      <c r="AB100" s="147"/>
      <c r="AC100" s="142"/>
      <c r="AD100" s="148"/>
    </row>
    <row r="101" spans="1:30" ht="12.75">
      <c r="A101" s="73"/>
      <c r="B101" s="161"/>
      <c r="C101" s="84"/>
      <c r="D101" s="146"/>
      <c r="E101" s="143"/>
      <c r="F101" s="146"/>
      <c r="G101" s="143"/>
      <c r="H101" s="146"/>
      <c r="I101" s="143"/>
      <c r="J101" s="146"/>
      <c r="K101" s="143"/>
      <c r="L101" s="147"/>
      <c r="M101" s="142"/>
      <c r="N101" s="146"/>
      <c r="O101" s="143"/>
      <c r="P101" s="146"/>
      <c r="Q101" s="143"/>
      <c r="R101" s="146"/>
      <c r="S101" s="143"/>
      <c r="T101" s="147"/>
      <c r="U101" s="142"/>
      <c r="V101" s="146"/>
      <c r="W101" s="143"/>
      <c r="X101" s="146"/>
      <c r="Y101" s="143"/>
      <c r="Z101" s="146"/>
      <c r="AA101" s="143"/>
      <c r="AB101" s="147"/>
      <c r="AC101" s="142"/>
      <c r="AD101" s="148"/>
    </row>
    <row r="102" spans="1:30" ht="12.75">
      <c r="A102" s="73"/>
      <c r="B102" s="161"/>
      <c r="C102" s="84"/>
      <c r="D102" s="146"/>
      <c r="E102" s="143"/>
      <c r="F102" s="146"/>
      <c r="G102" s="143"/>
      <c r="H102" s="146"/>
      <c r="I102" s="143"/>
      <c r="J102" s="146"/>
      <c r="K102" s="143"/>
      <c r="L102" s="147"/>
      <c r="M102" s="142"/>
      <c r="N102" s="146"/>
      <c r="O102" s="143"/>
      <c r="P102" s="146"/>
      <c r="Q102" s="143"/>
      <c r="R102" s="146"/>
      <c r="S102" s="143"/>
      <c r="T102" s="147"/>
      <c r="U102" s="142"/>
      <c r="V102" s="146"/>
      <c r="W102" s="143"/>
      <c r="X102" s="146"/>
      <c r="Y102" s="143"/>
      <c r="Z102" s="146"/>
      <c r="AA102" s="143"/>
      <c r="AB102" s="147"/>
      <c r="AC102" s="142"/>
      <c r="AD102" s="148"/>
    </row>
    <row r="103" spans="1:30" ht="12.75">
      <c r="A103" s="73"/>
      <c r="B103" s="161"/>
      <c r="C103" s="84"/>
      <c r="D103" s="146"/>
      <c r="E103" s="143"/>
      <c r="F103" s="146"/>
      <c r="G103" s="143"/>
      <c r="H103" s="146"/>
      <c r="I103" s="143"/>
      <c r="J103" s="146"/>
      <c r="K103" s="143"/>
      <c r="L103" s="147"/>
      <c r="M103" s="142"/>
      <c r="N103" s="146"/>
      <c r="O103" s="143"/>
      <c r="P103" s="146"/>
      <c r="Q103" s="143"/>
      <c r="R103" s="146"/>
      <c r="S103" s="143"/>
      <c r="T103" s="147"/>
      <c r="U103" s="142"/>
      <c r="V103" s="146"/>
      <c r="W103" s="143"/>
      <c r="X103" s="146"/>
      <c r="Y103" s="143"/>
      <c r="Z103" s="146"/>
      <c r="AA103" s="143"/>
      <c r="AB103" s="147"/>
      <c r="AC103" s="142"/>
      <c r="AD103" s="148"/>
    </row>
    <row r="104" spans="1:30" ht="12.75">
      <c r="A104" s="73"/>
      <c r="B104" s="161"/>
      <c r="C104" s="84"/>
      <c r="D104" s="146"/>
      <c r="E104" s="143"/>
      <c r="F104" s="146"/>
      <c r="G104" s="143"/>
      <c r="H104" s="146"/>
      <c r="I104" s="143"/>
      <c r="J104" s="146"/>
      <c r="K104" s="143"/>
      <c r="L104" s="147"/>
      <c r="M104" s="142"/>
      <c r="N104" s="146"/>
      <c r="O104" s="143"/>
      <c r="P104" s="146"/>
      <c r="Q104" s="143"/>
      <c r="R104" s="146"/>
      <c r="S104" s="143"/>
      <c r="T104" s="147"/>
      <c r="U104" s="142"/>
      <c r="V104" s="146"/>
      <c r="W104" s="143"/>
      <c r="X104" s="146"/>
      <c r="Y104" s="143"/>
      <c r="Z104" s="146"/>
      <c r="AA104" s="143"/>
      <c r="AB104" s="147"/>
      <c r="AC104" s="142"/>
      <c r="AD104" s="148"/>
    </row>
    <row r="105" spans="1:30" ht="12.75">
      <c r="A105" s="73"/>
      <c r="B105" s="161"/>
      <c r="C105" s="84"/>
      <c r="D105" s="146"/>
      <c r="E105" s="143"/>
      <c r="F105" s="146"/>
      <c r="G105" s="143"/>
      <c r="H105" s="146"/>
      <c r="I105" s="143"/>
      <c r="J105" s="146"/>
      <c r="K105" s="143"/>
      <c r="L105" s="147"/>
      <c r="M105" s="142"/>
      <c r="N105" s="146"/>
      <c r="O105" s="143"/>
      <c r="P105" s="146"/>
      <c r="Q105" s="143"/>
      <c r="R105" s="146"/>
      <c r="S105" s="143"/>
      <c r="T105" s="147"/>
      <c r="U105" s="142"/>
      <c r="V105" s="146"/>
      <c r="W105" s="143"/>
      <c r="X105" s="146"/>
      <c r="Y105" s="143"/>
      <c r="Z105" s="146"/>
      <c r="AA105" s="143"/>
      <c r="AB105" s="147"/>
      <c r="AC105" s="142"/>
      <c r="AD105" s="148"/>
    </row>
    <row r="106" spans="1:30" ht="12.75">
      <c r="A106" s="73"/>
      <c r="B106" s="161"/>
      <c r="C106" s="84"/>
      <c r="D106" s="146"/>
      <c r="E106" s="143"/>
      <c r="F106" s="146"/>
      <c r="G106" s="143"/>
      <c r="H106" s="146"/>
      <c r="I106" s="143"/>
      <c r="J106" s="146"/>
      <c r="K106" s="143"/>
      <c r="L106" s="147"/>
      <c r="M106" s="142"/>
      <c r="N106" s="146"/>
      <c r="O106" s="143"/>
      <c r="P106" s="146"/>
      <c r="Q106" s="143"/>
      <c r="R106" s="146"/>
      <c r="S106" s="143"/>
      <c r="T106" s="147"/>
      <c r="U106" s="142"/>
      <c r="V106" s="146"/>
      <c r="W106" s="143"/>
      <c r="X106" s="146"/>
      <c r="Y106" s="143"/>
      <c r="Z106" s="146"/>
      <c r="AA106" s="143"/>
      <c r="AB106" s="147"/>
      <c r="AC106" s="142"/>
      <c r="AD106" s="148"/>
    </row>
    <row r="107" spans="1:30" ht="12.75">
      <c r="A107" s="73"/>
      <c r="B107" s="161"/>
      <c r="C107" s="84"/>
      <c r="D107" s="146"/>
      <c r="E107" s="143"/>
      <c r="F107" s="146"/>
      <c r="G107" s="143"/>
      <c r="H107" s="146"/>
      <c r="I107" s="143"/>
      <c r="J107" s="146"/>
      <c r="K107" s="143"/>
      <c r="L107" s="147"/>
      <c r="M107" s="142"/>
      <c r="N107" s="146"/>
      <c r="O107" s="143"/>
      <c r="P107" s="146"/>
      <c r="Q107" s="143"/>
      <c r="R107" s="146"/>
      <c r="S107" s="143"/>
      <c r="T107" s="147"/>
      <c r="U107" s="142"/>
      <c r="V107" s="146"/>
      <c r="W107" s="143"/>
      <c r="X107" s="146"/>
      <c r="Y107" s="143"/>
      <c r="Z107" s="146"/>
      <c r="AA107" s="143"/>
      <c r="AB107" s="147"/>
      <c r="AC107" s="142"/>
      <c r="AD107" s="148"/>
    </row>
    <row r="108" spans="1:30" ht="12.75">
      <c r="A108" s="73"/>
      <c r="B108" s="161"/>
      <c r="C108" s="84"/>
      <c r="D108" s="146"/>
      <c r="E108" s="143"/>
      <c r="F108" s="146"/>
      <c r="G108" s="143"/>
      <c r="H108" s="146"/>
      <c r="I108" s="143"/>
      <c r="J108" s="146"/>
      <c r="K108" s="143"/>
      <c r="L108" s="147"/>
      <c r="M108" s="142"/>
      <c r="N108" s="146"/>
      <c r="O108" s="143"/>
      <c r="P108" s="146"/>
      <c r="Q108" s="143"/>
      <c r="R108" s="146"/>
      <c r="S108" s="143"/>
      <c r="T108" s="147"/>
      <c r="U108" s="142"/>
      <c r="V108" s="146"/>
      <c r="W108" s="143"/>
      <c r="X108" s="146"/>
      <c r="Y108" s="143"/>
      <c r="Z108" s="146"/>
      <c r="AA108" s="143"/>
      <c r="AB108" s="147"/>
      <c r="AC108" s="142"/>
      <c r="AD108" s="148"/>
    </row>
    <row r="109" spans="1:30" ht="12.75">
      <c r="A109" s="73"/>
      <c r="B109" s="161"/>
      <c r="C109" s="84"/>
      <c r="D109" s="146"/>
      <c r="E109" s="143"/>
      <c r="F109" s="146"/>
      <c r="G109" s="143"/>
      <c r="H109" s="146"/>
      <c r="I109" s="143"/>
      <c r="J109" s="146"/>
      <c r="K109" s="143"/>
      <c r="L109" s="147"/>
      <c r="M109" s="142"/>
      <c r="N109" s="146"/>
      <c r="O109" s="143"/>
      <c r="P109" s="146"/>
      <c r="Q109" s="143"/>
      <c r="R109" s="146"/>
      <c r="S109" s="143"/>
      <c r="T109" s="147"/>
      <c r="U109" s="142"/>
      <c r="V109" s="146"/>
      <c r="W109" s="143"/>
      <c r="X109" s="146"/>
      <c r="Y109" s="143"/>
      <c r="Z109" s="146"/>
      <c r="AA109" s="143"/>
      <c r="AB109" s="147"/>
      <c r="AC109" s="142"/>
      <c r="AD109" s="148"/>
    </row>
    <row r="110" spans="1:30" ht="12.75">
      <c r="A110" s="73"/>
      <c r="B110" s="161"/>
      <c r="C110" s="84"/>
      <c r="D110" s="146"/>
      <c r="E110" s="143"/>
      <c r="F110" s="146"/>
      <c r="G110" s="143"/>
      <c r="H110" s="146"/>
      <c r="I110" s="143"/>
      <c r="J110" s="146"/>
      <c r="K110" s="143"/>
      <c r="L110" s="147"/>
      <c r="M110" s="142"/>
      <c r="N110" s="146"/>
      <c r="O110" s="143"/>
      <c r="P110" s="146"/>
      <c r="Q110" s="143"/>
      <c r="R110" s="146"/>
      <c r="S110" s="143"/>
      <c r="T110" s="147"/>
      <c r="U110" s="142"/>
      <c r="V110" s="146"/>
      <c r="W110" s="143"/>
      <c r="X110" s="146"/>
      <c r="Y110" s="143"/>
      <c r="Z110" s="146"/>
      <c r="AA110" s="143"/>
      <c r="AB110" s="147"/>
      <c r="AC110" s="142"/>
      <c r="AD110" s="148"/>
    </row>
    <row r="111" spans="1:30" ht="12.75">
      <c r="A111" s="73"/>
      <c r="B111" s="161"/>
      <c r="C111" s="84"/>
      <c r="D111" s="146"/>
      <c r="E111" s="143"/>
      <c r="F111" s="146"/>
      <c r="G111" s="143"/>
      <c r="H111" s="146"/>
      <c r="I111" s="143"/>
      <c r="J111" s="146"/>
      <c r="K111" s="143"/>
      <c r="L111" s="147"/>
      <c r="M111" s="142"/>
      <c r="N111" s="146"/>
      <c r="O111" s="143"/>
      <c r="P111" s="146"/>
      <c r="Q111" s="143"/>
      <c r="R111" s="146"/>
      <c r="S111" s="143"/>
      <c r="T111" s="147"/>
      <c r="U111" s="142"/>
      <c r="V111" s="146"/>
      <c r="W111" s="143"/>
      <c r="X111" s="146"/>
      <c r="Y111" s="143"/>
      <c r="Z111" s="146"/>
      <c r="AA111" s="143"/>
      <c r="AB111" s="147"/>
      <c r="AC111" s="142"/>
      <c r="AD111" s="148"/>
    </row>
    <row r="112" spans="1:30" ht="12.75">
      <c r="A112" s="73"/>
      <c r="B112" s="161"/>
      <c r="C112" s="84"/>
      <c r="D112" s="146"/>
      <c r="E112" s="143"/>
      <c r="F112" s="146"/>
      <c r="G112" s="143"/>
      <c r="H112" s="146"/>
      <c r="I112" s="143"/>
      <c r="J112" s="146"/>
      <c r="K112" s="143"/>
      <c r="L112" s="147"/>
      <c r="M112" s="142"/>
      <c r="N112" s="146"/>
      <c r="O112" s="143"/>
      <c r="P112" s="146"/>
      <c r="Q112" s="143"/>
      <c r="R112" s="146"/>
      <c r="S112" s="143"/>
      <c r="T112" s="147"/>
      <c r="U112" s="142"/>
      <c r="V112" s="146"/>
      <c r="W112" s="143"/>
      <c r="X112" s="146"/>
      <c r="Y112" s="143"/>
      <c r="Z112" s="146"/>
      <c r="AA112" s="143"/>
      <c r="AB112" s="147"/>
      <c r="AC112" s="142"/>
      <c r="AD112" s="148"/>
    </row>
    <row r="113" spans="1:30" ht="12.75">
      <c r="A113" s="73"/>
      <c r="B113" s="161"/>
      <c r="C113" s="84"/>
      <c r="D113" s="146"/>
      <c r="E113" s="143"/>
      <c r="F113" s="146"/>
      <c r="G113" s="143"/>
      <c r="H113" s="146"/>
      <c r="I113" s="143"/>
      <c r="J113" s="146"/>
      <c r="K113" s="143"/>
      <c r="L113" s="147"/>
      <c r="M113" s="142"/>
      <c r="N113" s="146"/>
      <c r="O113" s="143"/>
      <c r="P113" s="146"/>
      <c r="Q113" s="143"/>
      <c r="R113" s="146"/>
      <c r="S113" s="143"/>
      <c r="T113" s="147"/>
      <c r="U113" s="142"/>
      <c r="V113" s="146"/>
      <c r="W113" s="143"/>
      <c r="X113" s="146"/>
      <c r="Y113" s="143"/>
      <c r="Z113" s="146"/>
      <c r="AA113" s="143"/>
      <c r="AB113" s="147"/>
      <c r="AC113" s="142"/>
      <c r="AD113" s="148"/>
    </row>
    <row r="114" spans="1:30" ht="12.75">
      <c r="A114" s="73"/>
      <c r="B114" s="161"/>
      <c r="C114" s="84"/>
      <c r="D114" s="146"/>
      <c r="E114" s="143"/>
      <c r="F114" s="146"/>
      <c r="G114" s="143"/>
      <c r="H114" s="146"/>
      <c r="I114" s="143"/>
      <c r="J114" s="146"/>
      <c r="K114" s="143"/>
      <c r="L114" s="147"/>
      <c r="M114" s="142"/>
      <c r="N114" s="146"/>
      <c r="O114" s="143"/>
      <c r="P114" s="146"/>
      <c r="Q114" s="143"/>
      <c r="R114" s="146"/>
      <c r="S114" s="143"/>
      <c r="T114" s="147"/>
      <c r="U114" s="142"/>
      <c r="V114" s="146"/>
      <c r="W114" s="143"/>
      <c r="X114" s="146"/>
      <c r="Y114" s="143"/>
      <c r="Z114" s="146"/>
      <c r="AA114" s="143"/>
      <c r="AB114" s="147"/>
      <c r="AC114" s="142"/>
      <c r="AD114" s="148"/>
    </row>
    <row r="115" spans="1:30" ht="12.75">
      <c r="A115" s="73"/>
      <c r="B115" s="161"/>
      <c r="C115" s="84"/>
      <c r="D115" s="146"/>
      <c r="E115" s="143"/>
      <c r="F115" s="146"/>
      <c r="G115" s="143"/>
      <c r="H115" s="146"/>
      <c r="I115" s="143"/>
      <c r="J115" s="146"/>
      <c r="K115" s="143"/>
      <c r="L115" s="147"/>
      <c r="M115" s="142"/>
      <c r="N115" s="146"/>
      <c r="O115" s="143"/>
      <c r="P115" s="146"/>
      <c r="Q115" s="143"/>
      <c r="R115" s="146"/>
      <c r="S115" s="143"/>
      <c r="T115" s="147"/>
      <c r="U115" s="142"/>
      <c r="V115" s="146"/>
      <c r="W115" s="143"/>
      <c r="X115" s="146"/>
      <c r="Y115" s="143"/>
      <c r="Z115" s="146"/>
      <c r="AA115" s="143"/>
      <c r="AB115" s="147"/>
      <c r="AC115" s="142"/>
      <c r="AD115" s="148"/>
    </row>
    <row r="116" spans="1:30" ht="12.75">
      <c r="A116" s="73"/>
      <c r="B116" s="161"/>
      <c r="C116" s="84"/>
      <c r="D116" s="146"/>
      <c r="E116" s="143"/>
      <c r="F116" s="146"/>
      <c r="G116" s="143"/>
      <c r="H116" s="146"/>
      <c r="I116" s="143"/>
      <c r="J116" s="146"/>
      <c r="K116" s="143"/>
      <c r="L116" s="147"/>
      <c r="M116" s="142"/>
      <c r="N116" s="146"/>
      <c r="O116" s="143"/>
      <c r="P116" s="146"/>
      <c r="Q116" s="143"/>
      <c r="R116" s="146"/>
      <c r="S116" s="143"/>
      <c r="T116" s="147"/>
      <c r="U116" s="142"/>
      <c r="V116" s="146"/>
      <c r="W116" s="143"/>
      <c r="X116" s="146"/>
      <c r="Y116" s="143"/>
      <c r="Z116" s="146"/>
      <c r="AA116" s="143"/>
      <c r="AB116" s="147"/>
      <c r="AC116" s="142"/>
      <c r="AD116" s="148"/>
    </row>
    <row r="117" spans="1:30" ht="12.75">
      <c r="A117" s="73"/>
      <c r="B117" s="161"/>
      <c r="C117" s="84"/>
      <c r="D117" s="146"/>
      <c r="E117" s="143"/>
      <c r="F117" s="146"/>
      <c r="G117" s="143"/>
      <c r="H117" s="146"/>
      <c r="I117" s="143"/>
      <c r="J117" s="146"/>
      <c r="K117" s="143"/>
      <c r="L117" s="147"/>
      <c r="M117" s="142"/>
      <c r="N117" s="146"/>
      <c r="O117" s="143"/>
      <c r="P117" s="146"/>
      <c r="Q117" s="143"/>
      <c r="R117" s="146"/>
      <c r="S117" s="143"/>
      <c r="T117" s="147"/>
      <c r="U117" s="142"/>
      <c r="V117" s="146"/>
      <c r="W117" s="143"/>
      <c r="X117" s="146"/>
      <c r="Y117" s="143"/>
      <c r="Z117" s="146"/>
      <c r="AA117" s="143"/>
      <c r="AB117" s="147"/>
      <c r="AC117" s="142"/>
      <c r="AD117" s="148"/>
    </row>
    <row r="118" spans="1:30" ht="12.75">
      <c r="A118" s="73"/>
      <c r="B118" s="161"/>
      <c r="C118" s="84"/>
      <c r="D118" s="146"/>
      <c r="E118" s="143"/>
      <c r="F118" s="146"/>
      <c r="G118" s="143"/>
      <c r="H118" s="146"/>
      <c r="I118" s="143"/>
      <c r="J118" s="146"/>
      <c r="K118" s="143"/>
      <c r="L118" s="147"/>
      <c r="M118" s="142"/>
      <c r="N118" s="146"/>
      <c r="O118" s="143"/>
      <c r="P118" s="146"/>
      <c r="Q118" s="143"/>
      <c r="R118" s="146"/>
      <c r="S118" s="143"/>
      <c r="T118" s="147"/>
      <c r="U118" s="142"/>
      <c r="V118" s="146"/>
      <c r="W118" s="143"/>
      <c r="X118" s="146"/>
      <c r="Y118" s="143"/>
      <c r="Z118" s="146"/>
      <c r="AA118" s="143"/>
      <c r="AB118" s="147"/>
      <c r="AC118" s="142"/>
      <c r="AD118" s="148"/>
    </row>
    <row r="119" spans="1:30" ht="12.75">
      <c r="A119" s="73"/>
      <c r="B119" s="161"/>
      <c r="C119" s="84"/>
      <c r="D119" s="146"/>
      <c r="E119" s="143"/>
      <c r="F119" s="146"/>
      <c r="G119" s="143"/>
      <c r="H119" s="146"/>
      <c r="I119" s="143"/>
      <c r="J119" s="146"/>
      <c r="K119" s="143"/>
      <c r="L119" s="147"/>
      <c r="M119" s="142"/>
      <c r="N119" s="146"/>
      <c r="O119" s="143"/>
      <c r="P119" s="146"/>
      <c r="Q119" s="143"/>
      <c r="R119" s="146"/>
      <c r="S119" s="143"/>
      <c r="T119" s="147"/>
      <c r="U119" s="142"/>
      <c r="V119" s="146"/>
      <c r="W119" s="143"/>
      <c r="X119" s="146"/>
      <c r="Y119" s="143"/>
      <c r="Z119" s="146"/>
      <c r="AA119" s="143"/>
      <c r="AB119" s="147"/>
      <c r="AC119" s="142"/>
      <c r="AD119" s="148"/>
    </row>
    <row r="120" spans="1:30" ht="12.75">
      <c r="A120" s="73"/>
      <c r="B120" s="161"/>
      <c r="C120" s="84"/>
      <c r="D120" s="146"/>
      <c r="E120" s="143"/>
      <c r="F120" s="146"/>
      <c r="G120" s="143"/>
      <c r="H120" s="146"/>
      <c r="I120" s="143"/>
      <c r="J120" s="146"/>
      <c r="K120" s="143"/>
      <c r="L120" s="147"/>
      <c r="M120" s="142"/>
      <c r="N120" s="146"/>
      <c r="O120" s="143"/>
      <c r="P120" s="146"/>
      <c r="Q120" s="143"/>
      <c r="R120" s="146"/>
      <c r="S120" s="143"/>
      <c r="T120" s="147"/>
      <c r="U120" s="142"/>
      <c r="V120" s="146"/>
      <c r="W120" s="143"/>
      <c r="X120" s="146"/>
      <c r="Y120" s="143"/>
      <c r="Z120" s="146"/>
      <c r="AA120" s="143"/>
      <c r="AB120" s="147"/>
      <c r="AC120" s="142"/>
      <c r="AD120" s="148"/>
    </row>
    <row r="121" spans="1:30" ht="12.75">
      <c r="A121" s="73"/>
      <c r="B121" s="161"/>
      <c r="C121" s="84"/>
      <c r="D121" s="146"/>
      <c r="E121" s="143"/>
      <c r="F121" s="146"/>
      <c r="G121" s="143"/>
      <c r="H121" s="146"/>
      <c r="I121" s="143"/>
      <c r="J121" s="146"/>
      <c r="K121" s="143"/>
      <c r="L121" s="147"/>
      <c r="M121" s="142"/>
      <c r="N121" s="146"/>
      <c r="O121" s="143"/>
      <c r="P121" s="146"/>
      <c r="Q121" s="143"/>
      <c r="R121" s="146"/>
      <c r="S121" s="143"/>
      <c r="T121" s="147"/>
      <c r="U121" s="142"/>
      <c r="V121" s="146"/>
      <c r="W121" s="143"/>
      <c r="X121" s="146"/>
      <c r="Y121" s="143"/>
      <c r="Z121" s="146"/>
      <c r="AA121" s="143"/>
      <c r="AB121" s="147"/>
      <c r="AC121" s="142"/>
      <c r="AD121" s="148"/>
    </row>
    <row r="122" spans="1:30" ht="12.75">
      <c r="A122" s="73"/>
      <c r="B122" s="161"/>
      <c r="C122" s="84"/>
      <c r="D122" s="146"/>
      <c r="E122" s="143"/>
      <c r="F122" s="146"/>
      <c r="G122" s="143"/>
      <c r="H122" s="146"/>
      <c r="I122" s="143"/>
      <c r="J122" s="146"/>
      <c r="K122" s="143"/>
      <c r="L122" s="147"/>
      <c r="M122" s="142"/>
      <c r="N122" s="146"/>
      <c r="O122" s="143"/>
      <c r="P122" s="146"/>
      <c r="Q122" s="143"/>
      <c r="R122" s="146"/>
      <c r="S122" s="143"/>
      <c r="T122" s="147"/>
      <c r="U122" s="142"/>
      <c r="V122" s="146"/>
      <c r="W122" s="143"/>
      <c r="X122" s="146"/>
      <c r="Y122" s="143"/>
      <c r="Z122" s="146"/>
      <c r="AA122" s="143"/>
      <c r="AB122" s="147"/>
      <c r="AC122" s="142"/>
      <c r="AD122" s="148"/>
    </row>
    <row r="123" spans="1:30" ht="12.75">
      <c r="A123" s="73"/>
      <c r="B123" s="161"/>
      <c r="C123" s="84"/>
      <c r="D123" s="146"/>
      <c r="E123" s="143"/>
      <c r="F123" s="146"/>
      <c r="G123" s="143"/>
      <c r="H123" s="146"/>
      <c r="I123" s="143"/>
      <c r="J123" s="146"/>
      <c r="K123" s="143"/>
      <c r="L123" s="147"/>
      <c r="M123" s="142"/>
      <c r="N123" s="146"/>
      <c r="O123" s="143"/>
      <c r="P123" s="146"/>
      <c r="Q123" s="143"/>
      <c r="R123" s="146"/>
      <c r="S123" s="143"/>
      <c r="T123" s="147"/>
      <c r="U123" s="142"/>
      <c r="V123" s="146"/>
      <c r="W123" s="143"/>
      <c r="X123" s="146"/>
      <c r="Y123" s="143"/>
      <c r="Z123" s="146"/>
      <c r="AA123" s="143"/>
      <c r="AB123" s="147"/>
      <c r="AC123" s="142"/>
      <c r="AD123" s="148"/>
    </row>
    <row r="124" spans="1:30" ht="12.75">
      <c r="A124" s="73"/>
      <c r="B124" s="161"/>
      <c r="C124" s="84"/>
      <c r="D124" s="146"/>
      <c r="E124" s="143"/>
      <c r="F124" s="146"/>
      <c r="G124" s="143"/>
      <c r="H124" s="146"/>
      <c r="I124" s="143"/>
      <c r="J124" s="146"/>
      <c r="K124" s="143"/>
      <c r="L124" s="147"/>
      <c r="M124" s="142"/>
      <c r="N124" s="146"/>
      <c r="O124" s="143"/>
      <c r="P124" s="146"/>
      <c r="Q124" s="143"/>
      <c r="R124" s="146"/>
      <c r="S124" s="143"/>
      <c r="T124" s="147"/>
      <c r="U124" s="142"/>
      <c r="V124" s="146"/>
      <c r="W124" s="143"/>
      <c r="X124" s="146"/>
      <c r="Y124" s="143"/>
      <c r="Z124" s="146"/>
      <c r="AA124" s="143"/>
      <c r="AB124" s="147"/>
      <c r="AC124" s="142"/>
      <c r="AD124" s="148"/>
    </row>
    <row r="125" spans="1:30" ht="12.75">
      <c r="A125" s="73"/>
      <c r="B125" s="161"/>
      <c r="C125" s="84"/>
      <c r="D125" s="146"/>
      <c r="E125" s="143"/>
      <c r="F125" s="146"/>
      <c r="G125" s="143"/>
      <c r="H125" s="146"/>
      <c r="I125" s="143"/>
      <c r="J125" s="146"/>
      <c r="K125" s="143"/>
      <c r="L125" s="147"/>
      <c r="M125" s="142"/>
      <c r="N125" s="146"/>
      <c r="O125" s="143"/>
      <c r="P125" s="146"/>
      <c r="Q125" s="143"/>
      <c r="R125" s="146"/>
      <c r="S125" s="143"/>
      <c r="T125" s="147"/>
      <c r="U125" s="142"/>
      <c r="V125" s="146"/>
      <c r="W125" s="143"/>
      <c r="X125" s="146"/>
      <c r="Y125" s="143"/>
      <c r="Z125" s="146"/>
      <c r="AA125" s="143"/>
      <c r="AB125" s="147"/>
      <c r="AC125" s="142"/>
      <c r="AD125" s="148"/>
    </row>
    <row r="126" spans="1:30" ht="12.75">
      <c r="A126" s="73"/>
      <c r="B126" s="161"/>
      <c r="C126" s="84"/>
      <c r="D126" s="146"/>
      <c r="E126" s="143"/>
      <c r="F126" s="146"/>
      <c r="G126" s="143"/>
      <c r="H126" s="146"/>
      <c r="I126" s="143"/>
      <c r="J126" s="146"/>
      <c r="K126" s="143"/>
      <c r="L126" s="147"/>
      <c r="M126" s="142"/>
      <c r="N126" s="146"/>
      <c r="O126" s="143"/>
      <c r="P126" s="146"/>
      <c r="Q126" s="143"/>
      <c r="R126" s="146"/>
      <c r="S126" s="143"/>
      <c r="T126" s="147"/>
      <c r="U126" s="142"/>
      <c r="V126" s="146"/>
      <c r="W126" s="143"/>
      <c r="X126" s="146"/>
      <c r="Y126" s="143"/>
      <c r="Z126" s="146"/>
      <c r="AA126" s="143"/>
      <c r="AB126" s="147"/>
      <c r="AC126" s="142"/>
      <c r="AD126" s="148"/>
    </row>
    <row r="127" spans="1:30" ht="12.75">
      <c r="A127" s="73"/>
      <c r="B127" s="161"/>
      <c r="C127" s="84"/>
      <c r="D127" s="146"/>
      <c r="E127" s="143"/>
      <c r="F127" s="146"/>
      <c r="G127" s="143"/>
      <c r="H127" s="146"/>
      <c r="I127" s="143"/>
      <c r="J127" s="146"/>
      <c r="K127" s="143"/>
      <c r="L127" s="147"/>
      <c r="M127" s="142"/>
      <c r="N127" s="146"/>
      <c r="O127" s="143"/>
      <c r="P127" s="146"/>
      <c r="Q127" s="143"/>
      <c r="R127" s="146"/>
      <c r="S127" s="143"/>
      <c r="T127" s="147"/>
      <c r="U127" s="142"/>
      <c r="V127" s="146"/>
      <c r="W127" s="143"/>
      <c r="X127" s="146"/>
      <c r="Y127" s="143"/>
      <c r="Z127" s="146"/>
      <c r="AA127" s="143"/>
      <c r="AB127" s="147"/>
      <c r="AC127" s="142"/>
      <c r="AD127" s="148"/>
    </row>
    <row r="128" spans="1:30" ht="12.75">
      <c r="A128" s="73"/>
      <c r="B128" s="161"/>
      <c r="C128" s="84"/>
      <c r="D128" s="146"/>
      <c r="E128" s="143"/>
      <c r="F128" s="146"/>
      <c r="G128" s="143"/>
      <c r="H128" s="146"/>
      <c r="I128" s="143"/>
      <c r="J128" s="146"/>
      <c r="K128" s="143"/>
      <c r="L128" s="147"/>
      <c r="M128" s="142"/>
      <c r="N128" s="146"/>
      <c r="O128" s="143"/>
      <c r="P128" s="146"/>
      <c r="Q128" s="143"/>
      <c r="R128" s="146"/>
      <c r="S128" s="143"/>
      <c r="T128" s="147"/>
      <c r="U128" s="142"/>
      <c r="V128" s="146"/>
      <c r="W128" s="143"/>
      <c r="X128" s="146"/>
      <c r="Y128" s="143"/>
      <c r="Z128" s="146"/>
      <c r="AA128" s="143"/>
      <c r="AB128" s="147"/>
      <c r="AC128" s="142"/>
      <c r="AD128" s="148"/>
    </row>
    <row r="129" spans="1:30" ht="12.75">
      <c r="A129" s="73"/>
      <c r="B129" s="161"/>
      <c r="C129" s="84"/>
      <c r="D129" s="146"/>
      <c r="E129" s="143"/>
      <c r="F129" s="146"/>
      <c r="G129" s="143"/>
      <c r="H129" s="146"/>
      <c r="I129" s="143"/>
      <c r="J129" s="146"/>
      <c r="K129" s="143"/>
      <c r="L129" s="147"/>
      <c r="M129" s="142"/>
      <c r="N129" s="146"/>
      <c r="O129" s="143"/>
      <c r="P129" s="146"/>
      <c r="Q129" s="143"/>
      <c r="R129" s="146"/>
      <c r="S129" s="143"/>
      <c r="T129" s="147"/>
      <c r="U129" s="142"/>
      <c r="V129" s="146"/>
      <c r="W129" s="143"/>
      <c r="X129" s="146"/>
      <c r="Y129" s="143"/>
      <c r="Z129" s="146"/>
      <c r="AA129" s="143"/>
      <c r="AB129" s="147"/>
      <c r="AC129" s="142"/>
      <c r="AD129" s="148"/>
    </row>
    <row r="130" spans="1:30" ht="12.75">
      <c r="A130" s="73"/>
      <c r="B130" s="161"/>
      <c r="C130" s="84"/>
      <c r="D130" s="146"/>
      <c r="E130" s="143"/>
      <c r="F130" s="146"/>
      <c r="G130" s="143"/>
      <c r="H130" s="146"/>
      <c r="I130" s="143"/>
      <c r="J130" s="146"/>
      <c r="K130" s="143"/>
      <c r="L130" s="147"/>
      <c r="M130" s="142"/>
      <c r="N130" s="146"/>
      <c r="O130" s="143"/>
      <c r="P130" s="146"/>
      <c r="Q130" s="143"/>
      <c r="R130" s="146"/>
      <c r="S130" s="143"/>
      <c r="T130" s="147"/>
      <c r="U130" s="142"/>
      <c r="V130" s="146"/>
      <c r="W130" s="143"/>
      <c r="X130" s="146"/>
      <c r="Y130" s="143"/>
      <c r="Z130" s="146"/>
      <c r="AA130" s="143"/>
      <c r="AB130" s="147"/>
      <c r="AC130" s="142"/>
      <c r="AD130" s="148"/>
    </row>
    <row r="131" spans="1:30" ht="12.75">
      <c r="A131" s="73"/>
      <c r="B131" s="161"/>
      <c r="C131" s="84"/>
      <c r="D131" s="146"/>
      <c r="E131" s="143"/>
      <c r="F131" s="146"/>
      <c r="G131" s="143"/>
      <c r="H131" s="146"/>
      <c r="I131" s="143"/>
      <c r="J131" s="146"/>
      <c r="K131" s="143"/>
      <c r="L131" s="147"/>
      <c r="M131" s="142"/>
      <c r="N131" s="146"/>
      <c r="O131" s="143"/>
      <c r="P131" s="146"/>
      <c r="Q131" s="143"/>
      <c r="R131" s="146"/>
      <c r="S131" s="143"/>
      <c r="T131" s="147"/>
      <c r="U131" s="142"/>
      <c r="V131" s="146"/>
      <c r="W131" s="143"/>
      <c r="X131" s="146"/>
      <c r="Y131" s="143"/>
      <c r="Z131" s="146"/>
      <c r="AA131" s="143"/>
      <c r="AB131" s="147"/>
      <c r="AC131" s="142"/>
      <c r="AD131" s="148"/>
    </row>
    <row r="132" spans="1:30" ht="12.75">
      <c r="A132" s="73"/>
      <c r="B132" s="161"/>
      <c r="C132" s="84"/>
      <c r="D132" s="146"/>
      <c r="E132" s="143"/>
      <c r="F132" s="146"/>
      <c r="G132" s="143"/>
      <c r="H132" s="146"/>
      <c r="I132" s="143"/>
      <c r="J132" s="146"/>
      <c r="K132" s="143"/>
      <c r="L132" s="147"/>
      <c r="M132" s="142"/>
      <c r="N132" s="146"/>
      <c r="O132" s="143"/>
      <c r="P132" s="146"/>
      <c r="Q132" s="143"/>
      <c r="R132" s="146"/>
      <c r="S132" s="143"/>
      <c r="T132" s="147"/>
      <c r="U132" s="142"/>
      <c r="V132" s="146"/>
      <c r="W132" s="143"/>
      <c r="X132" s="146"/>
      <c r="Y132" s="143"/>
      <c r="Z132" s="146"/>
      <c r="AA132" s="143"/>
      <c r="AB132" s="147"/>
      <c r="AC132" s="142"/>
      <c r="AD132" s="148"/>
    </row>
    <row r="133" spans="1:30" ht="12.75">
      <c r="A133" s="73"/>
      <c r="B133" s="161"/>
      <c r="C133" s="84"/>
      <c r="D133" s="146"/>
      <c r="E133" s="143"/>
      <c r="F133" s="146"/>
      <c r="G133" s="143"/>
      <c r="H133" s="146"/>
      <c r="I133" s="143"/>
      <c r="J133" s="146"/>
      <c r="K133" s="143"/>
      <c r="L133" s="147"/>
      <c r="M133" s="142"/>
      <c r="N133" s="146"/>
      <c r="O133" s="143"/>
      <c r="P133" s="146"/>
      <c r="Q133" s="143"/>
      <c r="R133" s="146"/>
      <c r="S133" s="143"/>
      <c r="T133" s="147"/>
      <c r="U133" s="142"/>
      <c r="V133" s="146"/>
      <c r="W133" s="143"/>
      <c r="X133" s="146"/>
      <c r="Y133" s="143"/>
      <c r="Z133" s="146"/>
      <c r="AA133" s="143"/>
      <c r="AB133" s="147"/>
      <c r="AC133" s="142"/>
      <c r="AD133" s="148"/>
    </row>
    <row r="134" spans="1:30" ht="12.75">
      <c r="A134" s="73"/>
      <c r="B134" s="161"/>
      <c r="C134" s="84"/>
      <c r="D134" s="146"/>
      <c r="E134" s="143"/>
      <c r="F134" s="146"/>
      <c r="G134" s="143"/>
      <c r="H134" s="146"/>
      <c r="I134" s="143"/>
      <c r="J134" s="146"/>
      <c r="K134" s="143"/>
      <c r="L134" s="147"/>
      <c r="M134" s="142"/>
      <c r="N134" s="146"/>
      <c r="O134" s="143"/>
      <c r="P134" s="146"/>
      <c r="Q134" s="143"/>
      <c r="R134" s="146"/>
      <c r="S134" s="143"/>
      <c r="T134" s="147"/>
      <c r="U134" s="142"/>
      <c r="V134" s="146"/>
      <c r="W134" s="143"/>
      <c r="X134" s="146"/>
      <c r="Y134" s="143"/>
      <c r="Z134" s="146"/>
      <c r="AA134" s="143"/>
      <c r="AB134" s="147"/>
      <c r="AC134" s="142"/>
      <c r="AD134" s="148"/>
    </row>
    <row r="135" spans="1:30" ht="12.75">
      <c r="A135" s="73"/>
      <c r="B135" s="161"/>
      <c r="C135" s="84"/>
      <c r="D135" s="146"/>
      <c r="E135" s="143"/>
      <c r="F135" s="146"/>
      <c r="G135" s="143"/>
      <c r="H135" s="146"/>
      <c r="I135" s="143"/>
      <c r="J135" s="146"/>
      <c r="K135" s="143"/>
      <c r="L135" s="147"/>
      <c r="M135" s="142"/>
      <c r="N135" s="146"/>
      <c r="O135" s="143"/>
      <c r="P135" s="146"/>
      <c r="Q135" s="143"/>
      <c r="R135" s="146"/>
      <c r="S135" s="143"/>
      <c r="T135" s="147"/>
      <c r="U135" s="142"/>
      <c r="V135" s="146"/>
      <c r="W135" s="143"/>
      <c r="X135" s="146"/>
      <c r="Y135" s="143"/>
      <c r="Z135" s="146"/>
      <c r="AA135" s="143"/>
      <c r="AB135" s="147"/>
      <c r="AC135" s="142"/>
      <c r="AD135" s="148"/>
    </row>
    <row r="136" spans="1:30" ht="12.75">
      <c r="A136" s="73"/>
      <c r="B136" s="161"/>
      <c r="C136" s="84"/>
      <c r="D136" s="146"/>
      <c r="E136" s="143"/>
      <c r="F136" s="146"/>
      <c r="G136" s="143"/>
      <c r="H136" s="146"/>
      <c r="I136" s="143"/>
      <c r="J136" s="146"/>
      <c r="K136" s="143"/>
      <c r="L136" s="147"/>
      <c r="M136" s="142"/>
      <c r="N136" s="146"/>
      <c r="O136" s="143"/>
      <c r="P136" s="146"/>
      <c r="Q136" s="143"/>
      <c r="R136" s="146"/>
      <c r="S136" s="143"/>
      <c r="T136" s="147"/>
      <c r="U136" s="142"/>
      <c r="V136" s="146"/>
      <c r="W136" s="143"/>
      <c r="X136" s="146"/>
      <c r="Y136" s="143"/>
      <c r="Z136" s="146"/>
      <c r="AA136" s="143"/>
      <c r="AB136" s="147"/>
      <c r="AC136" s="142"/>
      <c r="AD136" s="148"/>
    </row>
    <row r="137" spans="1:30" ht="12.75">
      <c r="A137" s="73"/>
      <c r="B137" s="161"/>
      <c r="C137" s="84"/>
      <c r="D137" s="146"/>
      <c r="E137" s="143"/>
      <c r="F137" s="146"/>
      <c r="G137" s="143"/>
      <c r="H137" s="146"/>
      <c r="I137" s="143"/>
      <c r="J137" s="146"/>
      <c r="K137" s="143"/>
      <c r="L137" s="147"/>
      <c r="M137" s="142"/>
      <c r="N137" s="146"/>
      <c r="O137" s="143"/>
      <c r="P137" s="146"/>
      <c r="Q137" s="143"/>
      <c r="R137" s="146"/>
      <c r="S137" s="143"/>
      <c r="T137" s="147"/>
      <c r="U137" s="142"/>
      <c r="V137" s="146"/>
      <c r="W137" s="143"/>
      <c r="X137" s="146"/>
      <c r="Y137" s="143"/>
      <c r="Z137" s="146"/>
      <c r="AA137" s="143"/>
      <c r="AB137" s="147"/>
      <c r="AC137" s="142"/>
      <c r="AD137" s="148"/>
    </row>
    <row r="138" spans="1:30" ht="12.75">
      <c r="A138" s="73"/>
      <c r="B138" s="161"/>
      <c r="C138" s="84"/>
      <c r="D138" s="146"/>
      <c r="E138" s="143"/>
      <c r="F138" s="146"/>
      <c r="G138" s="143"/>
      <c r="H138" s="146"/>
      <c r="I138" s="143"/>
      <c r="J138" s="146"/>
      <c r="K138" s="143"/>
      <c r="L138" s="147"/>
      <c r="M138" s="142"/>
      <c r="N138" s="146"/>
      <c r="O138" s="143"/>
      <c r="P138" s="146"/>
      <c r="Q138" s="143"/>
      <c r="R138" s="146"/>
      <c r="S138" s="143"/>
      <c r="T138" s="147"/>
      <c r="U138" s="142"/>
      <c r="V138" s="146"/>
      <c r="W138" s="143"/>
      <c r="X138" s="146"/>
      <c r="Y138" s="143"/>
      <c r="Z138" s="146"/>
      <c r="AA138" s="143"/>
      <c r="AB138" s="147"/>
      <c r="AC138" s="142"/>
      <c r="AD138" s="148"/>
    </row>
    <row r="139" spans="1:30" ht="12.75">
      <c r="A139" s="73"/>
      <c r="B139" s="161"/>
      <c r="C139" s="84"/>
      <c r="D139" s="146"/>
      <c r="E139" s="143"/>
      <c r="F139" s="146"/>
      <c r="G139" s="143"/>
      <c r="H139" s="146"/>
      <c r="I139" s="143"/>
      <c r="J139" s="146"/>
      <c r="K139" s="143"/>
      <c r="L139" s="147"/>
      <c r="M139" s="142"/>
      <c r="N139" s="146"/>
      <c r="O139" s="143"/>
      <c r="P139" s="146"/>
      <c r="Q139" s="143"/>
      <c r="R139" s="146"/>
      <c r="S139" s="143"/>
      <c r="T139" s="147"/>
      <c r="U139" s="142"/>
      <c r="V139" s="146"/>
      <c r="W139" s="143"/>
      <c r="X139" s="146"/>
      <c r="Y139" s="143"/>
      <c r="Z139" s="146"/>
      <c r="AA139" s="143"/>
      <c r="AB139" s="147"/>
      <c r="AC139" s="142"/>
      <c r="AD139" s="148"/>
    </row>
    <row r="140" spans="1:30" ht="12.75">
      <c r="A140" s="73"/>
      <c r="B140" s="161"/>
      <c r="C140" s="84"/>
      <c r="D140" s="146"/>
      <c r="E140" s="143"/>
      <c r="F140" s="146"/>
      <c r="G140" s="143"/>
      <c r="H140" s="146"/>
      <c r="I140" s="143"/>
      <c r="J140" s="146"/>
      <c r="K140" s="143"/>
      <c r="L140" s="147"/>
      <c r="M140" s="142"/>
      <c r="N140" s="146"/>
      <c r="O140" s="143"/>
      <c r="P140" s="146"/>
      <c r="Q140" s="143"/>
      <c r="R140" s="146"/>
      <c r="S140" s="143"/>
      <c r="T140" s="147"/>
      <c r="U140" s="142"/>
      <c r="V140" s="146"/>
      <c r="W140" s="143"/>
      <c r="X140" s="146"/>
      <c r="Y140" s="143"/>
      <c r="Z140" s="146"/>
      <c r="AA140" s="143"/>
      <c r="AB140" s="147"/>
      <c r="AC140" s="142"/>
      <c r="AD140" s="148"/>
    </row>
    <row r="141" spans="1:30" ht="12.75">
      <c r="A141" s="73"/>
      <c r="B141" s="161"/>
      <c r="C141" s="84"/>
      <c r="D141" s="146"/>
      <c r="E141" s="143"/>
      <c r="F141" s="146"/>
      <c r="G141" s="143"/>
      <c r="H141" s="146"/>
      <c r="I141" s="143"/>
      <c r="J141" s="146"/>
      <c r="K141" s="143"/>
      <c r="L141" s="147"/>
      <c r="M141" s="142"/>
      <c r="N141" s="146"/>
      <c r="O141" s="143"/>
      <c r="P141" s="146"/>
      <c r="Q141" s="143"/>
      <c r="R141" s="146"/>
      <c r="S141" s="143"/>
      <c r="T141" s="147"/>
      <c r="U141" s="142"/>
      <c r="V141" s="146"/>
      <c r="W141" s="143"/>
      <c r="X141" s="146"/>
      <c r="Y141" s="143"/>
      <c r="Z141" s="146"/>
      <c r="AA141" s="143"/>
      <c r="AB141" s="147"/>
      <c r="AC141" s="142"/>
      <c r="AD141" s="148"/>
    </row>
    <row r="142" spans="1:30" ht="12.75">
      <c r="A142" s="73"/>
      <c r="B142" s="161"/>
      <c r="C142" s="84"/>
      <c r="D142" s="146"/>
      <c r="E142" s="143"/>
      <c r="F142" s="146"/>
      <c r="G142" s="143"/>
      <c r="H142" s="146"/>
      <c r="I142" s="143"/>
      <c r="J142" s="146"/>
      <c r="K142" s="143"/>
      <c r="L142" s="147"/>
      <c r="M142" s="142"/>
      <c r="N142" s="146"/>
      <c r="O142" s="143"/>
      <c r="P142" s="146"/>
      <c r="Q142" s="143"/>
      <c r="R142" s="146"/>
      <c r="S142" s="143"/>
      <c r="T142" s="147"/>
      <c r="U142" s="142"/>
      <c r="V142" s="146"/>
      <c r="W142" s="143"/>
      <c r="X142" s="146"/>
      <c r="Y142" s="143"/>
      <c r="Z142" s="146"/>
      <c r="AA142" s="143"/>
      <c r="AB142" s="147"/>
      <c r="AC142" s="142"/>
      <c r="AD142" s="148"/>
    </row>
    <row r="143" spans="1:30" ht="12.75">
      <c r="A143" s="73"/>
      <c r="B143" s="161"/>
      <c r="C143" s="84"/>
      <c r="D143" s="146"/>
      <c r="E143" s="143"/>
      <c r="F143" s="146"/>
      <c r="G143" s="143"/>
      <c r="H143" s="146"/>
      <c r="I143" s="143"/>
      <c r="J143" s="146"/>
      <c r="K143" s="143"/>
      <c r="L143" s="147"/>
      <c r="M143" s="142"/>
      <c r="N143" s="146"/>
      <c r="O143" s="143"/>
      <c r="P143" s="146"/>
      <c r="Q143" s="143"/>
      <c r="R143" s="146"/>
      <c r="S143" s="143"/>
      <c r="T143" s="147"/>
      <c r="U143" s="142"/>
      <c r="V143" s="146"/>
      <c r="W143" s="143"/>
      <c r="X143" s="146"/>
      <c r="Y143" s="143"/>
      <c r="Z143" s="146"/>
      <c r="AA143" s="143"/>
      <c r="AB143" s="147"/>
      <c r="AC143" s="142"/>
      <c r="AD143" s="148"/>
    </row>
    <row r="144" spans="1:30" ht="12.75">
      <c r="A144" s="73"/>
      <c r="B144" s="161"/>
      <c r="C144" s="84"/>
      <c r="D144" s="146"/>
      <c r="E144" s="143"/>
      <c r="F144" s="146"/>
      <c r="G144" s="143"/>
      <c r="H144" s="146"/>
      <c r="I144" s="143"/>
      <c r="J144" s="146"/>
      <c r="K144" s="143"/>
      <c r="L144" s="147"/>
      <c r="M144" s="142"/>
      <c r="N144" s="146"/>
      <c r="O144" s="143"/>
      <c r="P144" s="146"/>
      <c r="Q144" s="143"/>
      <c r="R144" s="146"/>
      <c r="S144" s="143"/>
      <c r="T144" s="147"/>
      <c r="U144" s="142"/>
      <c r="V144" s="146"/>
      <c r="W144" s="143"/>
      <c r="X144" s="146"/>
      <c r="Y144" s="143"/>
      <c r="Z144" s="146"/>
      <c r="AA144" s="143"/>
      <c r="AB144" s="147"/>
      <c r="AC144" s="142"/>
      <c r="AD144" s="148"/>
    </row>
    <row r="145" spans="1:30" ht="12.75">
      <c r="A145" s="73"/>
      <c r="B145" s="161"/>
      <c r="C145" s="84"/>
      <c r="D145" s="146"/>
      <c r="E145" s="143"/>
      <c r="F145" s="146"/>
      <c r="G145" s="143"/>
      <c r="H145" s="146"/>
      <c r="I145" s="143"/>
      <c r="J145" s="146"/>
      <c r="K145" s="143"/>
      <c r="L145" s="147"/>
      <c r="M145" s="142"/>
      <c r="N145" s="146"/>
      <c r="O145" s="143"/>
      <c r="P145" s="146"/>
      <c r="Q145" s="143"/>
      <c r="R145" s="146"/>
      <c r="S145" s="143"/>
      <c r="T145" s="147"/>
      <c r="U145" s="142"/>
      <c r="V145" s="146"/>
      <c r="W145" s="143"/>
      <c r="X145" s="146"/>
      <c r="Y145" s="143"/>
      <c r="Z145" s="146"/>
      <c r="AA145" s="143"/>
      <c r="AB145" s="147"/>
      <c r="AC145" s="142"/>
      <c r="AD145" s="148"/>
    </row>
    <row r="146" spans="1:30" ht="12.75">
      <c r="A146" s="73"/>
      <c r="B146" s="161"/>
      <c r="C146" s="84"/>
      <c r="D146" s="146"/>
      <c r="E146" s="143"/>
      <c r="F146" s="146"/>
      <c r="G146" s="143"/>
      <c r="H146" s="146"/>
      <c r="I146" s="143"/>
      <c r="J146" s="146"/>
      <c r="K146" s="143"/>
      <c r="L146" s="147"/>
      <c r="M146" s="142"/>
      <c r="N146" s="146"/>
      <c r="O146" s="143"/>
      <c r="P146" s="146"/>
      <c r="Q146" s="143"/>
      <c r="R146" s="146"/>
      <c r="S146" s="143"/>
      <c r="T146" s="147"/>
      <c r="U146" s="142"/>
      <c r="V146" s="146"/>
      <c r="W146" s="143"/>
      <c r="X146" s="146"/>
      <c r="Y146" s="143"/>
      <c r="Z146" s="146"/>
      <c r="AA146" s="143"/>
      <c r="AB146" s="147"/>
      <c r="AC146" s="142"/>
      <c r="AD146" s="148"/>
    </row>
    <row r="147" spans="1:30" ht="12.75">
      <c r="A147" s="73"/>
      <c r="B147" s="161"/>
      <c r="C147" s="84"/>
      <c r="D147" s="146"/>
      <c r="E147" s="143"/>
      <c r="F147" s="146"/>
      <c r="G147" s="143"/>
      <c r="H147" s="146"/>
      <c r="I147" s="143"/>
      <c r="J147" s="146"/>
      <c r="K147" s="143"/>
      <c r="L147" s="147"/>
      <c r="M147" s="142"/>
      <c r="N147" s="146"/>
      <c r="O147" s="143"/>
      <c r="P147" s="146"/>
      <c r="Q147" s="143"/>
      <c r="R147" s="146"/>
      <c r="S147" s="143"/>
      <c r="T147" s="147"/>
      <c r="U147" s="142"/>
      <c r="V147" s="146"/>
      <c r="W147" s="143"/>
      <c r="X147" s="146"/>
      <c r="Y147" s="143"/>
      <c r="Z147" s="146"/>
      <c r="AA147" s="143"/>
      <c r="AB147" s="147"/>
      <c r="AC147" s="142"/>
      <c r="AD147" s="148"/>
    </row>
    <row r="148" spans="1:30" ht="12.75">
      <c r="A148" s="73"/>
      <c r="B148" s="161"/>
      <c r="C148" s="84"/>
      <c r="D148" s="146"/>
      <c r="E148" s="143"/>
      <c r="F148" s="146"/>
      <c r="G148" s="143"/>
      <c r="H148" s="146"/>
      <c r="I148" s="143"/>
      <c r="J148" s="146"/>
      <c r="K148" s="143"/>
      <c r="L148" s="147"/>
      <c r="M148" s="142"/>
      <c r="N148" s="146"/>
      <c r="O148" s="143"/>
      <c r="P148" s="146"/>
      <c r="Q148" s="143"/>
      <c r="R148" s="146"/>
      <c r="S148" s="143"/>
      <c r="T148" s="147"/>
      <c r="U148" s="142"/>
      <c r="V148" s="146"/>
      <c r="W148" s="143"/>
      <c r="X148" s="146"/>
      <c r="Y148" s="143"/>
      <c r="Z148" s="146"/>
      <c r="AA148" s="143"/>
      <c r="AB148" s="147"/>
      <c r="AC148" s="142"/>
      <c r="AD148" s="148"/>
    </row>
    <row r="149" spans="1:30" ht="12.75">
      <c r="A149" s="73"/>
      <c r="B149" s="161"/>
      <c r="C149" s="84"/>
      <c r="D149" s="146"/>
      <c r="E149" s="143"/>
      <c r="F149" s="146"/>
      <c r="G149" s="143"/>
      <c r="H149" s="146"/>
      <c r="I149" s="143"/>
      <c r="J149" s="146"/>
      <c r="K149" s="143"/>
      <c r="L149" s="147"/>
      <c r="M149" s="142"/>
      <c r="N149" s="146"/>
      <c r="O149" s="143"/>
      <c r="P149" s="146"/>
      <c r="Q149" s="143"/>
      <c r="R149" s="146"/>
      <c r="S149" s="143"/>
      <c r="T149" s="147"/>
      <c r="U149" s="142"/>
      <c r="V149" s="146"/>
      <c r="W149" s="143"/>
      <c r="X149" s="146"/>
      <c r="Y149" s="143"/>
      <c r="Z149" s="146"/>
      <c r="AA149" s="143"/>
      <c r="AB149" s="147"/>
      <c r="AC149" s="142"/>
      <c r="AD149" s="148"/>
    </row>
    <row r="150" spans="1:30" ht="12.75">
      <c r="A150" s="73"/>
      <c r="B150" s="161"/>
      <c r="C150" s="84"/>
      <c r="D150" s="146"/>
      <c r="E150" s="143"/>
      <c r="F150" s="146"/>
      <c r="G150" s="143"/>
      <c r="H150" s="146"/>
      <c r="I150" s="143"/>
      <c r="J150" s="146"/>
      <c r="K150" s="143"/>
      <c r="L150" s="147"/>
      <c r="M150" s="142"/>
      <c r="N150" s="146"/>
      <c r="O150" s="143"/>
      <c r="P150" s="146"/>
      <c r="Q150" s="143"/>
      <c r="R150" s="146"/>
      <c r="S150" s="143"/>
      <c r="T150" s="147"/>
      <c r="U150" s="142"/>
      <c r="V150" s="146"/>
      <c r="W150" s="143"/>
      <c r="X150" s="146"/>
      <c r="Y150" s="143"/>
      <c r="Z150" s="146"/>
      <c r="AA150" s="143"/>
      <c r="AB150" s="147"/>
      <c r="AC150" s="142"/>
      <c r="AD150" s="148"/>
    </row>
    <row r="151" spans="1:30" ht="12.75">
      <c r="A151" s="73"/>
      <c r="B151" s="161"/>
      <c r="C151" s="84"/>
      <c r="D151" s="146"/>
      <c r="E151" s="143"/>
      <c r="F151" s="146"/>
      <c r="G151" s="143"/>
      <c r="H151" s="146"/>
      <c r="I151" s="143"/>
      <c r="J151" s="146"/>
      <c r="K151" s="143"/>
      <c r="L151" s="147"/>
      <c r="M151" s="142"/>
      <c r="N151" s="146"/>
      <c r="O151" s="143"/>
      <c r="P151" s="146"/>
      <c r="Q151" s="143"/>
      <c r="R151" s="146"/>
      <c r="S151" s="143"/>
      <c r="T151" s="147"/>
      <c r="U151" s="142"/>
      <c r="V151" s="146"/>
      <c r="W151" s="143"/>
      <c r="X151" s="146"/>
      <c r="Y151" s="143"/>
      <c r="Z151" s="146"/>
      <c r="AA151" s="143"/>
      <c r="AB151" s="147"/>
      <c r="AC151" s="142"/>
      <c r="AD151" s="148"/>
    </row>
    <row r="152" spans="1:30" ht="12.75">
      <c r="A152" s="73"/>
      <c r="B152" s="161"/>
      <c r="C152" s="84"/>
      <c r="D152" s="146"/>
      <c r="E152" s="143"/>
      <c r="F152" s="146"/>
      <c r="G152" s="143"/>
      <c r="H152" s="146"/>
      <c r="I152" s="143"/>
      <c r="J152" s="146"/>
      <c r="K152" s="143"/>
      <c r="L152" s="147"/>
      <c r="M152" s="142"/>
      <c r="N152" s="146"/>
      <c r="O152" s="143"/>
      <c r="P152" s="146"/>
      <c r="Q152" s="143"/>
      <c r="R152" s="146"/>
      <c r="S152" s="143"/>
      <c r="T152" s="147"/>
      <c r="U152" s="142"/>
      <c r="V152" s="146"/>
      <c r="W152" s="143"/>
      <c r="X152" s="146"/>
      <c r="Y152" s="143"/>
      <c r="Z152" s="146"/>
      <c r="AA152" s="143"/>
      <c r="AB152" s="147"/>
      <c r="AC152" s="142"/>
      <c r="AD152" s="148"/>
    </row>
    <row r="153" spans="1:30" ht="12.75">
      <c r="A153" s="73"/>
      <c r="B153" s="161"/>
      <c r="C153" s="84"/>
      <c r="D153" s="146"/>
      <c r="E153" s="143"/>
      <c r="F153" s="146"/>
      <c r="G153" s="143"/>
      <c r="H153" s="146"/>
      <c r="I153" s="143"/>
      <c r="J153" s="146"/>
      <c r="K153" s="143"/>
      <c r="L153" s="147"/>
      <c r="M153" s="142"/>
      <c r="N153" s="146"/>
      <c r="O153" s="143"/>
      <c r="P153" s="146"/>
      <c r="Q153" s="143"/>
      <c r="R153" s="146"/>
      <c r="S153" s="143"/>
      <c r="T153" s="147"/>
      <c r="U153" s="142"/>
      <c r="V153" s="146"/>
      <c r="W153" s="143"/>
      <c r="X153" s="146"/>
      <c r="Y153" s="143"/>
      <c r="Z153" s="146"/>
      <c r="AA153" s="143"/>
      <c r="AB153" s="147"/>
      <c r="AC153" s="142"/>
      <c r="AD153" s="148"/>
    </row>
    <row r="154" spans="1:30" ht="12.75">
      <c r="A154" s="73"/>
      <c r="B154" s="161"/>
      <c r="C154" s="84"/>
      <c r="D154" s="146"/>
      <c r="E154" s="143"/>
      <c r="F154" s="146"/>
      <c r="G154" s="143"/>
      <c r="H154" s="146"/>
      <c r="I154" s="143"/>
      <c r="J154" s="146"/>
      <c r="K154" s="143"/>
      <c r="L154" s="147"/>
      <c r="M154" s="142"/>
      <c r="N154" s="146"/>
      <c r="O154" s="143"/>
      <c r="P154" s="146"/>
      <c r="Q154" s="143"/>
      <c r="R154" s="146"/>
      <c r="S154" s="143"/>
      <c r="T154" s="147"/>
      <c r="U154" s="142"/>
      <c r="V154" s="146"/>
      <c r="W154" s="143"/>
      <c r="X154" s="146"/>
      <c r="Y154" s="143"/>
      <c r="Z154" s="146"/>
      <c r="AA154" s="143"/>
      <c r="AB154" s="147"/>
      <c r="AC154" s="142"/>
      <c r="AD154" s="148"/>
    </row>
    <row r="155" spans="1:30" ht="12.75">
      <c r="A155" s="73"/>
      <c r="B155" s="161"/>
      <c r="C155" s="84"/>
      <c r="D155" s="146"/>
      <c r="E155" s="143"/>
      <c r="F155" s="146"/>
      <c r="G155" s="143"/>
      <c r="H155" s="146"/>
      <c r="I155" s="143"/>
      <c r="J155" s="146"/>
      <c r="K155" s="143"/>
      <c r="L155" s="147"/>
      <c r="M155" s="142"/>
      <c r="N155" s="146"/>
      <c r="O155" s="143"/>
      <c r="P155" s="146"/>
      <c r="Q155" s="143"/>
      <c r="R155" s="146"/>
      <c r="S155" s="143"/>
      <c r="T155" s="147"/>
      <c r="U155" s="142"/>
      <c r="V155" s="146"/>
      <c r="W155" s="143"/>
      <c r="X155" s="146"/>
      <c r="Y155" s="143"/>
      <c r="Z155" s="146"/>
      <c r="AA155" s="143"/>
      <c r="AB155" s="147"/>
      <c r="AC155" s="142"/>
      <c r="AD155" s="148"/>
    </row>
    <row r="156" spans="1:30" ht="12.75">
      <c r="A156" s="73"/>
      <c r="B156" s="161"/>
      <c r="C156" s="84"/>
      <c r="D156" s="146"/>
      <c r="E156" s="143"/>
      <c r="F156" s="146"/>
      <c r="G156" s="143"/>
      <c r="H156" s="146"/>
      <c r="I156" s="143"/>
      <c r="J156" s="146"/>
      <c r="K156" s="143"/>
      <c r="L156" s="147"/>
      <c r="M156" s="142"/>
      <c r="N156" s="146"/>
      <c r="O156" s="143"/>
      <c r="P156" s="146"/>
      <c r="Q156" s="143"/>
      <c r="R156" s="146"/>
      <c r="S156" s="143"/>
      <c r="T156" s="147"/>
      <c r="U156" s="142"/>
      <c r="V156" s="146"/>
      <c r="W156" s="143"/>
      <c r="X156" s="146"/>
      <c r="Y156" s="143"/>
      <c r="Z156" s="146"/>
      <c r="AA156" s="143"/>
      <c r="AB156" s="147"/>
      <c r="AC156" s="142"/>
      <c r="AD156" s="148"/>
    </row>
    <row r="157" spans="1:30" ht="12.75">
      <c r="A157" s="73"/>
      <c r="B157" s="161"/>
      <c r="C157" s="84"/>
      <c r="D157" s="146"/>
      <c r="E157" s="143"/>
      <c r="F157" s="146"/>
      <c r="G157" s="143"/>
      <c r="H157" s="146"/>
      <c r="I157" s="143"/>
      <c r="J157" s="146"/>
      <c r="K157" s="143"/>
      <c r="L157" s="147"/>
      <c r="M157" s="142"/>
      <c r="N157" s="146"/>
      <c r="O157" s="143"/>
      <c r="P157" s="146"/>
      <c r="Q157" s="143"/>
      <c r="R157" s="146"/>
      <c r="S157" s="143"/>
      <c r="T157" s="147"/>
      <c r="U157" s="142"/>
      <c r="V157" s="146"/>
      <c r="W157" s="143"/>
      <c r="X157" s="146"/>
      <c r="Y157" s="143"/>
      <c r="Z157" s="146"/>
      <c r="AA157" s="143"/>
      <c r="AB157" s="147"/>
      <c r="AC157" s="142"/>
      <c r="AD157" s="148"/>
    </row>
    <row r="158" spans="1:30" ht="12.75">
      <c r="A158" s="73"/>
      <c r="B158" s="161"/>
      <c r="C158" s="84"/>
      <c r="D158" s="146"/>
      <c r="E158" s="143"/>
      <c r="F158" s="146"/>
      <c r="G158" s="143"/>
      <c r="H158" s="146"/>
      <c r="I158" s="143"/>
      <c r="J158" s="146"/>
      <c r="K158" s="143"/>
      <c r="L158" s="147"/>
      <c r="M158" s="142"/>
      <c r="N158" s="146"/>
      <c r="O158" s="143"/>
      <c r="P158" s="146"/>
      <c r="Q158" s="143"/>
      <c r="R158" s="146"/>
      <c r="S158" s="143"/>
      <c r="T158" s="147"/>
      <c r="U158" s="142"/>
      <c r="V158" s="146"/>
      <c r="W158" s="143"/>
      <c r="X158" s="146"/>
      <c r="Y158" s="143"/>
      <c r="Z158" s="146"/>
      <c r="AA158" s="143"/>
      <c r="AB158" s="147"/>
      <c r="AC158" s="142"/>
      <c r="AD158" s="148"/>
    </row>
    <row r="159" spans="1:30" ht="12.75">
      <c r="A159" s="73"/>
      <c r="B159" s="161"/>
      <c r="C159" s="84"/>
      <c r="D159" s="146"/>
      <c r="E159" s="143"/>
      <c r="F159" s="146"/>
      <c r="G159" s="143"/>
      <c r="H159" s="146"/>
      <c r="I159" s="143"/>
      <c r="J159" s="146"/>
      <c r="K159" s="143"/>
      <c r="L159" s="147"/>
      <c r="M159" s="142"/>
      <c r="N159" s="146"/>
      <c r="O159" s="143"/>
      <c r="P159" s="146"/>
      <c r="Q159" s="143"/>
      <c r="R159" s="146"/>
      <c r="S159" s="143"/>
      <c r="T159" s="147"/>
      <c r="U159" s="142"/>
      <c r="V159" s="146"/>
      <c r="W159" s="143"/>
      <c r="X159" s="146"/>
      <c r="Y159" s="143"/>
      <c r="Z159" s="146"/>
      <c r="AA159" s="143"/>
      <c r="AB159" s="147"/>
      <c r="AC159" s="142"/>
      <c r="AD159" s="148"/>
    </row>
    <row r="160" spans="1:30" ht="12.75">
      <c r="A160" s="73"/>
      <c r="B160" s="161"/>
      <c r="C160" s="84"/>
      <c r="D160" s="146"/>
      <c r="E160" s="143"/>
      <c r="F160" s="146"/>
      <c r="G160" s="143"/>
      <c r="H160" s="146"/>
      <c r="I160" s="143"/>
      <c r="J160" s="146"/>
      <c r="K160" s="143"/>
      <c r="L160" s="147"/>
      <c r="M160" s="142"/>
      <c r="N160" s="146"/>
      <c r="O160" s="143"/>
      <c r="P160" s="146"/>
      <c r="Q160" s="143"/>
      <c r="R160" s="146"/>
      <c r="S160" s="143"/>
      <c r="T160" s="147"/>
      <c r="U160" s="142"/>
      <c r="V160" s="146"/>
      <c r="W160" s="143"/>
      <c r="X160" s="146"/>
      <c r="Y160" s="143"/>
      <c r="Z160" s="146"/>
      <c r="AA160" s="143"/>
      <c r="AB160" s="147"/>
      <c r="AC160" s="142"/>
      <c r="AD160" s="148"/>
    </row>
    <row r="161" spans="1:30" ht="12.75">
      <c r="A161" s="73"/>
      <c r="B161" s="161"/>
      <c r="C161" s="84"/>
      <c r="D161" s="146"/>
      <c r="E161" s="143"/>
      <c r="F161" s="146"/>
      <c r="G161" s="143"/>
      <c r="H161" s="146"/>
      <c r="I161" s="143"/>
      <c r="J161" s="146"/>
      <c r="K161" s="143"/>
      <c r="L161" s="147"/>
      <c r="M161" s="142"/>
      <c r="N161" s="146"/>
      <c r="O161" s="143"/>
      <c r="P161" s="146"/>
      <c r="Q161" s="143"/>
      <c r="R161" s="146"/>
      <c r="S161" s="143"/>
      <c r="T161" s="147"/>
      <c r="U161" s="142"/>
      <c r="V161" s="146"/>
      <c r="W161" s="143"/>
      <c r="X161" s="146"/>
      <c r="Y161" s="143"/>
      <c r="Z161" s="146"/>
      <c r="AA161" s="143"/>
      <c r="AB161" s="147"/>
      <c r="AC161" s="142"/>
      <c r="AD161" s="148"/>
    </row>
    <row r="162" spans="1:30" ht="12.75">
      <c r="A162" s="73"/>
      <c r="B162" s="161"/>
      <c r="C162" s="84"/>
      <c r="D162" s="146"/>
      <c r="E162" s="143"/>
      <c r="F162" s="146"/>
      <c r="G162" s="143"/>
      <c r="H162" s="146"/>
      <c r="I162" s="143"/>
      <c r="J162" s="146"/>
      <c r="K162" s="143"/>
      <c r="L162" s="147"/>
      <c r="M162" s="142"/>
      <c r="N162" s="146"/>
      <c r="O162" s="143"/>
      <c r="P162" s="146"/>
      <c r="Q162" s="143"/>
      <c r="R162" s="146"/>
      <c r="S162" s="143"/>
      <c r="T162" s="147"/>
      <c r="U162" s="142"/>
      <c r="V162" s="146"/>
      <c r="W162" s="143"/>
      <c r="X162" s="146"/>
      <c r="Y162" s="143"/>
      <c r="Z162" s="146"/>
      <c r="AA162" s="143"/>
      <c r="AB162" s="147"/>
      <c r="AC162" s="142"/>
      <c r="AD162" s="148"/>
    </row>
    <row r="163" spans="1:30" ht="12.75">
      <c r="A163" s="73"/>
      <c r="B163" s="161"/>
      <c r="C163" s="84"/>
      <c r="D163" s="146"/>
      <c r="E163" s="143"/>
      <c r="F163" s="146"/>
      <c r="G163" s="143"/>
      <c r="H163" s="146"/>
      <c r="I163" s="143"/>
      <c r="J163" s="146"/>
      <c r="K163" s="143"/>
      <c r="L163" s="147"/>
      <c r="M163" s="142"/>
      <c r="N163" s="146"/>
      <c r="O163" s="143"/>
      <c r="P163" s="146"/>
      <c r="Q163" s="143"/>
      <c r="R163" s="146"/>
      <c r="S163" s="143"/>
      <c r="T163" s="147"/>
      <c r="U163" s="142"/>
      <c r="V163" s="146"/>
      <c r="W163" s="143"/>
      <c r="X163" s="146"/>
      <c r="Y163" s="143"/>
      <c r="Z163" s="146"/>
      <c r="AA163" s="143"/>
      <c r="AB163" s="147"/>
      <c r="AC163" s="142"/>
      <c r="AD163" s="148"/>
    </row>
    <row r="164" spans="1:30" ht="12.75">
      <c r="A164" s="73"/>
      <c r="B164" s="161"/>
      <c r="C164" s="84"/>
      <c r="D164" s="146"/>
      <c r="E164" s="143"/>
      <c r="F164" s="146"/>
      <c r="G164" s="143"/>
      <c r="H164" s="146"/>
      <c r="I164" s="143"/>
      <c r="J164" s="146"/>
      <c r="K164" s="143"/>
      <c r="L164" s="147"/>
      <c r="M164" s="142"/>
      <c r="N164" s="146"/>
      <c r="O164" s="143"/>
      <c r="P164" s="146"/>
      <c r="Q164" s="143"/>
      <c r="R164" s="146"/>
      <c r="S164" s="143"/>
      <c r="T164" s="147"/>
      <c r="U164" s="142"/>
      <c r="V164" s="146"/>
      <c r="W164" s="143"/>
      <c r="X164" s="146"/>
      <c r="Y164" s="143"/>
      <c r="Z164" s="146"/>
      <c r="AA164" s="143"/>
      <c r="AB164" s="147"/>
      <c r="AC164" s="142"/>
      <c r="AD164" s="148"/>
    </row>
    <row r="165" spans="1:30" ht="12.75">
      <c r="A165" s="73"/>
      <c r="B165" s="161"/>
      <c r="C165" s="84"/>
      <c r="D165" s="146"/>
      <c r="E165" s="143"/>
      <c r="F165" s="146"/>
      <c r="G165" s="143"/>
      <c r="H165" s="146"/>
      <c r="I165" s="143"/>
      <c r="J165" s="146"/>
      <c r="K165" s="143"/>
      <c r="L165" s="147"/>
      <c r="M165" s="142"/>
      <c r="N165" s="146"/>
      <c r="O165" s="143"/>
      <c r="P165" s="146"/>
      <c r="Q165" s="143"/>
      <c r="R165" s="146"/>
      <c r="S165" s="143"/>
      <c r="T165" s="147"/>
      <c r="U165" s="142"/>
      <c r="V165" s="146"/>
      <c r="W165" s="143"/>
      <c r="X165" s="146"/>
      <c r="Y165" s="143"/>
      <c r="Z165" s="146"/>
      <c r="AA165" s="143"/>
      <c r="AB165" s="147"/>
      <c r="AC165" s="142"/>
      <c r="AD165" s="148"/>
    </row>
    <row r="166" spans="1:30" ht="12.75">
      <c r="A166" s="73"/>
      <c r="B166" s="161"/>
      <c r="C166" s="84"/>
      <c r="D166" s="146"/>
      <c r="E166" s="143"/>
      <c r="F166" s="146"/>
      <c r="G166" s="143"/>
      <c r="H166" s="146"/>
      <c r="I166" s="143"/>
      <c r="J166" s="146"/>
      <c r="K166" s="143"/>
      <c r="L166" s="147"/>
      <c r="M166" s="142"/>
      <c r="N166" s="146"/>
      <c r="O166" s="143"/>
      <c r="P166" s="146"/>
      <c r="Q166" s="143"/>
      <c r="R166" s="146"/>
      <c r="S166" s="143"/>
      <c r="T166" s="147"/>
      <c r="U166" s="142"/>
      <c r="V166" s="146"/>
      <c r="W166" s="143"/>
      <c r="X166" s="146"/>
      <c r="Y166" s="143"/>
      <c r="Z166" s="146"/>
      <c r="AA166" s="143"/>
      <c r="AB166" s="147"/>
      <c r="AC166" s="142"/>
      <c r="AD166" s="148"/>
    </row>
    <row r="167" spans="1:30" ht="12.75">
      <c r="A167" s="73"/>
      <c r="B167" s="161"/>
      <c r="C167" s="84"/>
      <c r="D167" s="146"/>
      <c r="E167" s="143"/>
      <c r="F167" s="146"/>
      <c r="G167" s="143"/>
      <c r="H167" s="146"/>
      <c r="I167" s="143"/>
      <c r="J167" s="146"/>
      <c r="K167" s="143"/>
      <c r="L167" s="147"/>
      <c r="M167" s="142"/>
      <c r="N167" s="146"/>
      <c r="O167" s="143"/>
      <c r="P167" s="146"/>
      <c r="Q167" s="143"/>
      <c r="R167" s="146"/>
      <c r="S167" s="143"/>
      <c r="T167" s="147"/>
      <c r="U167" s="142"/>
      <c r="V167" s="146"/>
      <c r="W167" s="143"/>
      <c r="X167" s="146"/>
      <c r="Y167" s="143"/>
      <c r="Z167" s="146"/>
      <c r="AA167" s="143"/>
      <c r="AB167" s="147"/>
      <c r="AC167" s="142"/>
      <c r="AD167" s="148"/>
    </row>
    <row r="168" spans="1:30" ht="12.75">
      <c r="A168" s="73"/>
      <c r="B168" s="161"/>
      <c r="C168" s="84"/>
      <c r="D168" s="146"/>
      <c r="E168" s="143"/>
      <c r="F168" s="146"/>
      <c r="G168" s="143"/>
      <c r="H168" s="146"/>
      <c r="I168" s="143"/>
      <c r="J168" s="146"/>
      <c r="K168" s="143"/>
      <c r="L168" s="147"/>
      <c r="M168" s="142"/>
      <c r="N168" s="146"/>
      <c r="O168" s="143"/>
      <c r="P168" s="146"/>
      <c r="Q168" s="143"/>
      <c r="R168" s="146"/>
      <c r="S168" s="143"/>
      <c r="T168" s="147"/>
      <c r="U168" s="142"/>
      <c r="V168" s="146"/>
      <c r="W168" s="143"/>
      <c r="X168" s="146"/>
      <c r="Y168" s="143"/>
      <c r="Z168" s="146"/>
      <c r="AA168" s="143"/>
      <c r="AB168" s="147"/>
      <c r="AC168" s="142"/>
      <c r="AD168" s="148"/>
    </row>
    <row r="169" spans="1:30" ht="12.75">
      <c r="A169" s="73"/>
      <c r="B169" s="161"/>
      <c r="C169" s="84"/>
      <c r="D169" s="146"/>
      <c r="E169" s="143"/>
      <c r="F169" s="146"/>
      <c r="G169" s="143"/>
      <c r="H169" s="146"/>
      <c r="I169" s="143"/>
      <c r="J169" s="146"/>
      <c r="K169" s="143"/>
      <c r="L169" s="147"/>
      <c r="M169" s="142"/>
      <c r="N169" s="146"/>
      <c r="O169" s="143"/>
      <c r="P169" s="146"/>
      <c r="Q169" s="143"/>
      <c r="R169" s="146"/>
      <c r="S169" s="143"/>
      <c r="T169" s="147"/>
      <c r="U169" s="142"/>
      <c r="V169" s="146"/>
      <c r="W169" s="143"/>
      <c r="X169" s="146"/>
      <c r="Y169" s="143"/>
      <c r="Z169" s="146"/>
      <c r="AA169" s="143"/>
      <c r="AB169" s="147"/>
      <c r="AC169" s="142"/>
      <c r="AD169" s="148"/>
    </row>
    <row r="170" spans="1:30" ht="12.75">
      <c r="A170" s="73"/>
      <c r="B170" s="161"/>
      <c r="C170" s="84"/>
      <c r="D170" s="146"/>
      <c r="E170" s="143"/>
      <c r="F170" s="146"/>
      <c r="G170" s="143"/>
      <c r="H170" s="146"/>
      <c r="I170" s="143"/>
      <c r="J170" s="146"/>
      <c r="K170" s="143"/>
      <c r="L170" s="147"/>
      <c r="M170" s="142"/>
      <c r="N170" s="146"/>
      <c r="O170" s="143"/>
      <c r="P170" s="146"/>
      <c r="Q170" s="143"/>
      <c r="R170" s="146"/>
      <c r="S170" s="143"/>
      <c r="T170" s="147"/>
      <c r="U170" s="142"/>
      <c r="V170" s="146"/>
      <c r="W170" s="143"/>
      <c r="X170" s="146"/>
      <c r="Y170" s="143"/>
      <c r="Z170" s="146"/>
      <c r="AA170" s="143"/>
      <c r="AB170" s="147"/>
      <c r="AC170" s="142"/>
      <c r="AD170" s="148"/>
    </row>
    <row r="171" spans="1:30" ht="12.75">
      <c r="A171" s="73"/>
      <c r="B171" s="161"/>
      <c r="C171" s="84"/>
      <c r="D171" s="146"/>
      <c r="E171" s="143"/>
      <c r="F171" s="146"/>
      <c r="G171" s="143"/>
      <c r="H171" s="146"/>
      <c r="I171" s="143"/>
      <c r="J171" s="146"/>
      <c r="K171" s="143"/>
      <c r="L171" s="147"/>
      <c r="M171" s="142"/>
      <c r="N171" s="146"/>
      <c r="O171" s="143"/>
      <c r="P171" s="146"/>
      <c r="Q171" s="143"/>
      <c r="R171" s="146"/>
      <c r="S171" s="143"/>
      <c r="T171" s="147"/>
      <c r="U171" s="142"/>
      <c r="V171" s="146"/>
      <c r="W171" s="143"/>
      <c r="X171" s="146"/>
      <c r="Y171" s="143"/>
      <c r="Z171" s="146"/>
      <c r="AA171" s="143"/>
      <c r="AB171" s="147"/>
      <c r="AC171" s="142"/>
      <c r="AD171" s="148"/>
    </row>
    <row r="172" spans="1:30" ht="12.75">
      <c r="A172" s="73"/>
      <c r="B172" s="161"/>
      <c r="C172" s="84"/>
      <c r="D172" s="146"/>
      <c r="E172" s="143"/>
      <c r="F172" s="146"/>
      <c r="G172" s="143"/>
      <c r="H172" s="146"/>
      <c r="I172" s="143"/>
      <c r="J172" s="146"/>
      <c r="K172" s="143"/>
      <c r="L172" s="147"/>
      <c r="M172" s="142"/>
      <c r="N172" s="146"/>
      <c r="O172" s="143"/>
      <c r="P172" s="146"/>
      <c r="Q172" s="143"/>
      <c r="R172" s="146"/>
      <c r="S172" s="143"/>
      <c r="T172" s="147"/>
      <c r="U172" s="142"/>
      <c r="V172" s="146"/>
      <c r="W172" s="143"/>
      <c r="X172" s="146"/>
      <c r="Y172" s="143"/>
      <c r="Z172" s="146"/>
      <c r="AA172" s="143"/>
      <c r="AB172" s="147"/>
      <c r="AC172" s="142"/>
      <c r="AD172" s="148"/>
    </row>
    <row r="173" spans="1:30" ht="12.75">
      <c r="A173" s="73"/>
      <c r="B173" s="161"/>
      <c r="C173" s="84"/>
      <c r="D173" s="146"/>
      <c r="E173" s="143"/>
      <c r="F173" s="146"/>
      <c r="G173" s="143"/>
      <c r="H173" s="146"/>
      <c r="I173" s="143"/>
      <c r="J173" s="146"/>
      <c r="K173" s="143"/>
      <c r="L173" s="147"/>
      <c r="M173" s="142"/>
      <c r="N173" s="146"/>
      <c r="O173" s="143"/>
      <c r="P173" s="146"/>
      <c r="Q173" s="143"/>
      <c r="R173" s="146"/>
      <c r="S173" s="143"/>
      <c r="T173" s="147"/>
      <c r="U173" s="142"/>
      <c r="V173" s="146"/>
      <c r="W173" s="143"/>
      <c r="X173" s="146"/>
      <c r="Y173" s="143"/>
      <c r="Z173" s="146"/>
      <c r="AA173" s="143"/>
      <c r="AB173" s="147"/>
      <c r="AC173" s="142"/>
      <c r="AD173" s="148"/>
    </row>
    <row r="174" spans="1:30" ht="12.75">
      <c r="A174" s="73"/>
      <c r="B174" s="161"/>
      <c r="C174" s="84"/>
      <c r="D174" s="146"/>
      <c r="E174" s="143"/>
      <c r="F174" s="146"/>
      <c r="G174" s="143"/>
      <c r="H174" s="146"/>
      <c r="I174" s="143"/>
      <c r="J174" s="146"/>
      <c r="K174" s="143"/>
      <c r="L174" s="147"/>
      <c r="M174" s="142"/>
      <c r="N174" s="146"/>
      <c r="O174" s="143"/>
      <c r="P174" s="146"/>
      <c r="Q174" s="143"/>
      <c r="R174" s="146"/>
      <c r="S174" s="143"/>
      <c r="T174" s="147"/>
      <c r="U174" s="142"/>
      <c r="V174" s="146"/>
      <c r="W174" s="143"/>
      <c r="X174" s="146"/>
      <c r="Y174" s="143"/>
      <c r="Z174" s="146"/>
      <c r="AA174" s="143"/>
      <c r="AB174" s="147"/>
      <c r="AC174" s="142"/>
      <c r="AD174" s="148"/>
    </row>
    <row r="175" spans="1:30" ht="12.75">
      <c r="A175" s="73"/>
      <c r="B175" s="161"/>
      <c r="C175" s="84"/>
      <c r="D175" s="146"/>
      <c r="E175" s="143"/>
      <c r="F175" s="146"/>
      <c r="G175" s="143"/>
      <c r="H175" s="146"/>
      <c r="I175" s="143"/>
      <c r="J175" s="146"/>
      <c r="K175" s="143"/>
      <c r="L175" s="147"/>
      <c r="M175" s="142"/>
      <c r="N175" s="146"/>
      <c r="O175" s="143"/>
      <c r="P175" s="146"/>
      <c r="Q175" s="143"/>
      <c r="R175" s="146"/>
      <c r="S175" s="143"/>
      <c r="T175" s="147"/>
      <c r="U175" s="142"/>
      <c r="V175" s="146"/>
      <c r="W175" s="143"/>
      <c r="X175" s="146"/>
      <c r="Y175" s="143"/>
      <c r="Z175" s="146"/>
      <c r="AA175" s="143"/>
      <c r="AB175" s="147"/>
      <c r="AC175" s="142"/>
      <c r="AD175" s="148"/>
    </row>
    <row r="176" spans="1:30" ht="12.75">
      <c r="A176" s="73"/>
      <c r="B176" s="161"/>
      <c r="C176" s="84"/>
      <c r="D176" s="146"/>
      <c r="E176" s="143"/>
      <c r="F176" s="146"/>
      <c r="G176" s="143"/>
      <c r="H176" s="146"/>
      <c r="I176" s="143"/>
      <c r="J176" s="146"/>
      <c r="K176" s="143"/>
      <c r="L176" s="147"/>
      <c r="M176" s="142"/>
      <c r="N176" s="146"/>
      <c r="O176" s="143"/>
      <c r="P176" s="146"/>
      <c r="Q176" s="143"/>
      <c r="R176" s="146"/>
      <c r="S176" s="143"/>
      <c r="T176" s="147"/>
      <c r="U176" s="142"/>
      <c r="V176" s="146"/>
      <c r="W176" s="143"/>
      <c r="X176" s="146"/>
      <c r="Y176" s="143"/>
      <c r="Z176" s="146"/>
      <c r="AA176" s="143"/>
      <c r="AB176" s="147"/>
      <c r="AC176" s="142"/>
      <c r="AD176" s="148"/>
    </row>
    <row r="177" spans="1:30" ht="12.75">
      <c r="A177" s="73"/>
      <c r="B177" s="161"/>
      <c r="C177" s="84"/>
      <c r="D177" s="146"/>
      <c r="E177" s="143"/>
      <c r="F177" s="146"/>
      <c r="G177" s="143"/>
      <c r="H177" s="146"/>
      <c r="I177" s="143"/>
      <c r="J177" s="146"/>
      <c r="K177" s="143"/>
      <c r="L177" s="147"/>
      <c r="M177" s="142"/>
      <c r="N177" s="146"/>
      <c r="O177" s="143"/>
      <c r="P177" s="146"/>
      <c r="Q177" s="143"/>
      <c r="R177" s="146"/>
      <c r="S177" s="143"/>
      <c r="T177" s="147"/>
      <c r="U177" s="142"/>
      <c r="V177" s="146"/>
      <c r="W177" s="143"/>
      <c r="X177" s="146"/>
      <c r="Y177" s="143"/>
      <c r="Z177" s="146"/>
      <c r="AA177" s="143"/>
      <c r="AB177" s="147"/>
      <c r="AC177" s="142"/>
      <c r="AD177" s="148"/>
    </row>
    <row r="178" spans="1:30" ht="12.75">
      <c r="A178" s="73"/>
      <c r="B178" s="161"/>
      <c r="C178" s="84"/>
      <c r="D178" s="146"/>
      <c r="E178" s="143"/>
      <c r="F178" s="146"/>
      <c r="G178" s="143"/>
      <c r="H178" s="146"/>
      <c r="I178" s="143"/>
      <c r="J178" s="146"/>
      <c r="K178" s="143"/>
      <c r="L178" s="147"/>
      <c r="M178" s="142"/>
      <c r="N178" s="146"/>
      <c r="O178" s="143"/>
      <c r="P178" s="146"/>
      <c r="Q178" s="143"/>
      <c r="R178" s="146"/>
      <c r="S178" s="143"/>
      <c r="T178" s="147"/>
      <c r="U178" s="142"/>
      <c r="V178" s="146"/>
      <c r="W178" s="143"/>
      <c r="X178" s="146"/>
      <c r="Y178" s="143"/>
      <c r="Z178" s="146"/>
      <c r="AA178" s="143"/>
      <c r="AB178" s="147"/>
      <c r="AC178" s="142"/>
      <c r="AD178" s="148"/>
    </row>
    <row r="179" spans="1:30" ht="12.75">
      <c r="A179" s="73"/>
      <c r="B179" s="161"/>
      <c r="C179" s="84"/>
      <c r="D179" s="146"/>
      <c r="E179" s="143"/>
      <c r="F179" s="146"/>
      <c r="G179" s="143"/>
      <c r="H179" s="146"/>
      <c r="I179" s="143"/>
      <c r="J179" s="146"/>
      <c r="K179" s="143"/>
      <c r="L179" s="147"/>
      <c r="M179" s="142"/>
      <c r="N179" s="146"/>
      <c r="O179" s="143"/>
      <c r="P179" s="146"/>
      <c r="Q179" s="143"/>
      <c r="R179" s="146"/>
      <c r="S179" s="143"/>
      <c r="T179" s="147"/>
      <c r="U179" s="142"/>
      <c r="V179" s="146"/>
      <c r="W179" s="143"/>
      <c r="X179" s="146"/>
      <c r="Y179" s="143"/>
      <c r="Z179" s="146"/>
      <c r="AA179" s="143"/>
      <c r="AB179" s="147"/>
      <c r="AC179" s="142"/>
      <c r="AD179" s="148"/>
    </row>
    <row r="180" spans="1:30" ht="12.75">
      <c r="A180" s="73"/>
      <c r="B180" s="161"/>
      <c r="C180" s="84"/>
      <c r="D180" s="146"/>
      <c r="E180" s="143"/>
      <c r="F180" s="146"/>
      <c r="G180" s="143"/>
      <c r="H180" s="146"/>
      <c r="I180" s="143"/>
      <c r="J180" s="146"/>
      <c r="K180" s="143"/>
      <c r="L180" s="147"/>
      <c r="M180" s="142"/>
      <c r="N180" s="146"/>
      <c r="O180" s="143"/>
      <c r="P180" s="146"/>
      <c r="Q180" s="143"/>
      <c r="R180" s="146"/>
      <c r="S180" s="143"/>
      <c r="T180" s="147"/>
      <c r="U180" s="142"/>
      <c r="V180" s="146"/>
      <c r="W180" s="143"/>
      <c r="X180" s="146"/>
      <c r="Y180" s="143"/>
      <c r="Z180" s="146"/>
      <c r="AA180" s="143"/>
      <c r="AB180" s="147"/>
      <c r="AC180" s="142"/>
      <c r="AD180" s="148"/>
    </row>
    <row r="181" spans="1:30" ht="12.75">
      <c r="A181" s="73"/>
      <c r="B181" s="161"/>
      <c r="C181" s="84"/>
      <c r="D181" s="146"/>
      <c r="E181" s="143"/>
      <c r="F181" s="146"/>
      <c r="G181" s="143"/>
      <c r="H181" s="146"/>
      <c r="I181" s="143"/>
      <c r="J181" s="146"/>
      <c r="K181" s="143"/>
      <c r="L181" s="147"/>
      <c r="M181" s="142"/>
      <c r="N181" s="146"/>
      <c r="O181" s="143"/>
      <c r="P181" s="146"/>
      <c r="Q181" s="143"/>
      <c r="R181" s="146"/>
      <c r="S181" s="143"/>
      <c r="T181" s="147"/>
      <c r="U181" s="142"/>
      <c r="V181" s="146"/>
      <c r="W181" s="143"/>
      <c r="X181" s="146"/>
      <c r="Y181" s="143"/>
      <c r="Z181" s="146"/>
      <c r="AA181" s="143"/>
      <c r="AB181" s="147"/>
      <c r="AC181" s="142"/>
      <c r="AD181" s="148"/>
    </row>
    <row r="182" spans="1:30" ht="12.75">
      <c r="A182" s="73"/>
      <c r="B182" s="161"/>
      <c r="C182" s="84"/>
      <c r="D182" s="146"/>
      <c r="E182" s="143"/>
      <c r="F182" s="146"/>
      <c r="G182" s="143"/>
      <c r="H182" s="146"/>
      <c r="I182" s="143"/>
      <c r="J182" s="146"/>
      <c r="K182" s="143"/>
      <c r="L182" s="147"/>
      <c r="M182" s="142"/>
      <c r="N182" s="146"/>
      <c r="O182" s="143"/>
      <c r="P182" s="146"/>
      <c r="Q182" s="143"/>
      <c r="R182" s="146"/>
      <c r="S182" s="143"/>
      <c r="T182" s="147"/>
      <c r="U182" s="142"/>
      <c r="V182" s="146"/>
      <c r="W182" s="143"/>
      <c r="X182" s="146"/>
      <c r="Y182" s="143"/>
      <c r="Z182" s="146"/>
      <c r="AA182" s="143"/>
      <c r="AB182" s="147"/>
      <c r="AC182" s="142"/>
      <c r="AD182" s="148"/>
    </row>
    <row r="183" spans="1:30" ht="12.75">
      <c r="A183" s="73"/>
      <c r="B183" s="161"/>
      <c r="C183" s="84"/>
      <c r="D183" s="146"/>
      <c r="E183" s="143"/>
      <c r="F183" s="146"/>
      <c r="G183" s="143"/>
      <c r="H183" s="146"/>
      <c r="I183" s="143"/>
      <c r="J183" s="146"/>
      <c r="K183" s="143"/>
      <c r="L183" s="147"/>
      <c r="M183" s="142"/>
      <c r="N183" s="146"/>
      <c r="O183" s="143"/>
      <c r="P183" s="146"/>
      <c r="Q183" s="143"/>
      <c r="R183" s="146"/>
      <c r="S183" s="143"/>
      <c r="T183" s="147"/>
      <c r="U183" s="142"/>
      <c r="V183" s="146"/>
      <c r="W183" s="143"/>
      <c r="X183" s="146"/>
      <c r="Y183" s="143"/>
      <c r="Z183" s="146"/>
      <c r="AA183" s="143"/>
      <c r="AB183" s="147"/>
      <c r="AC183" s="142"/>
      <c r="AD183" s="148"/>
    </row>
    <row r="184" spans="1:30" ht="12.75">
      <c r="A184" s="73"/>
      <c r="B184" s="161"/>
      <c r="C184" s="84"/>
      <c r="D184" s="146"/>
      <c r="E184" s="143"/>
      <c r="F184" s="146"/>
      <c r="G184" s="143"/>
      <c r="H184" s="146"/>
      <c r="I184" s="143"/>
      <c r="J184" s="146"/>
      <c r="K184" s="143"/>
      <c r="L184" s="147"/>
      <c r="M184" s="142"/>
      <c r="N184" s="146"/>
      <c r="O184" s="143"/>
      <c r="P184" s="146"/>
      <c r="Q184" s="143"/>
      <c r="R184" s="146"/>
      <c r="S184" s="143"/>
      <c r="T184" s="147"/>
      <c r="U184" s="142"/>
      <c r="V184" s="146"/>
      <c r="W184" s="143"/>
      <c r="X184" s="146"/>
      <c r="Y184" s="143"/>
      <c r="Z184" s="146"/>
      <c r="AA184" s="143"/>
      <c r="AB184" s="147"/>
      <c r="AC184" s="142"/>
      <c r="AD184" s="148"/>
    </row>
    <row r="185" spans="1:30" ht="12.75">
      <c r="A185" s="73"/>
      <c r="B185" s="161"/>
      <c r="C185" s="84"/>
      <c r="D185" s="146"/>
      <c r="E185" s="143"/>
      <c r="F185" s="146"/>
      <c r="G185" s="143"/>
      <c r="H185" s="146"/>
      <c r="I185" s="143"/>
      <c r="J185" s="146"/>
      <c r="K185" s="143"/>
      <c r="L185" s="147"/>
      <c r="M185" s="142"/>
      <c r="N185" s="146"/>
      <c r="O185" s="143"/>
      <c r="P185" s="146"/>
      <c r="Q185" s="143"/>
      <c r="R185" s="146"/>
      <c r="S185" s="143"/>
      <c r="T185" s="147"/>
      <c r="U185" s="142"/>
      <c r="V185" s="146"/>
      <c r="W185" s="143"/>
      <c r="X185" s="146"/>
      <c r="Y185" s="143"/>
      <c r="Z185" s="146"/>
      <c r="AA185" s="143"/>
      <c r="AB185" s="147"/>
      <c r="AC185" s="142"/>
      <c r="AD185" s="148"/>
    </row>
    <row r="186" spans="1:30" ht="12.75">
      <c r="A186" s="73"/>
      <c r="B186" s="161"/>
      <c r="C186" s="84"/>
      <c r="D186" s="146"/>
      <c r="E186" s="143"/>
      <c r="F186" s="146"/>
      <c r="G186" s="143"/>
      <c r="H186" s="146"/>
      <c r="I186" s="143"/>
      <c r="J186" s="146"/>
      <c r="K186" s="143"/>
      <c r="L186" s="147"/>
      <c r="M186" s="142"/>
      <c r="N186" s="146"/>
      <c r="O186" s="143"/>
      <c r="P186" s="146"/>
      <c r="Q186" s="143"/>
      <c r="R186" s="146"/>
      <c r="S186" s="143"/>
      <c r="T186" s="147"/>
      <c r="U186" s="142"/>
      <c r="V186" s="146"/>
      <c r="W186" s="143"/>
      <c r="X186" s="146"/>
      <c r="Y186" s="143"/>
      <c r="Z186" s="146"/>
      <c r="AA186" s="143"/>
      <c r="AB186" s="147"/>
      <c r="AC186" s="142"/>
      <c r="AD186" s="148"/>
    </row>
    <row r="187" spans="1:30" ht="12.75">
      <c r="A187" s="73"/>
      <c r="B187" s="161"/>
      <c r="C187" s="84"/>
      <c r="D187" s="146"/>
      <c r="E187" s="143"/>
      <c r="F187" s="146"/>
      <c r="G187" s="143"/>
      <c r="H187" s="146"/>
      <c r="I187" s="143"/>
      <c r="J187" s="146"/>
      <c r="K187" s="143"/>
      <c r="L187" s="147"/>
      <c r="M187" s="142"/>
      <c r="N187" s="146"/>
      <c r="O187" s="143"/>
      <c r="P187" s="146"/>
      <c r="Q187" s="143"/>
      <c r="R187" s="146"/>
      <c r="S187" s="143"/>
      <c r="T187" s="147"/>
      <c r="U187" s="142"/>
      <c r="V187" s="146"/>
      <c r="W187" s="143"/>
      <c r="X187" s="146"/>
      <c r="Y187" s="143"/>
      <c r="Z187" s="146"/>
      <c r="AA187" s="143"/>
      <c r="AB187" s="147"/>
      <c r="AC187" s="142"/>
      <c r="AD187" s="148"/>
    </row>
    <row r="188" spans="1:30" ht="12.75">
      <c r="A188" s="73"/>
      <c r="B188" s="161"/>
      <c r="C188" s="84"/>
      <c r="D188" s="146"/>
      <c r="E188" s="143"/>
      <c r="F188" s="146"/>
      <c r="G188" s="143"/>
      <c r="H188" s="146"/>
      <c r="I188" s="143"/>
      <c r="J188" s="146"/>
      <c r="K188" s="143"/>
      <c r="L188" s="147"/>
      <c r="M188" s="142"/>
      <c r="N188" s="146"/>
      <c r="O188" s="143"/>
      <c r="P188" s="146"/>
      <c r="Q188" s="143"/>
      <c r="R188" s="146"/>
      <c r="S188" s="143"/>
      <c r="T188" s="147"/>
      <c r="U188" s="142"/>
      <c r="V188" s="146"/>
      <c r="W188" s="143"/>
      <c r="X188" s="146"/>
      <c r="Y188" s="143"/>
      <c r="Z188" s="146"/>
      <c r="AA188" s="143"/>
      <c r="AB188" s="147"/>
      <c r="AC188" s="142"/>
      <c r="AD188" s="148"/>
    </row>
    <row r="189" spans="1:30" ht="12.75">
      <c r="A189" s="73"/>
      <c r="B189" s="161"/>
      <c r="C189" s="84"/>
      <c r="D189" s="146"/>
      <c r="E189" s="143"/>
      <c r="F189" s="146"/>
      <c r="G189" s="143"/>
      <c r="H189" s="146"/>
      <c r="I189" s="143"/>
      <c r="J189" s="146"/>
      <c r="K189" s="143"/>
      <c r="L189" s="147"/>
      <c r="M189" s="142"/>
      <c r="N189" s="146"/>
      <c r="O189" s="143"/>
      <c r="P189" s="146"/>
      <c r="Q189" s="143"/>
      <c r="R189" s="146"/>
      <c r="S189" s="143"/>
      <c r="T189" s="147"/>
      <c r="U189" s="142"/>
      <c r="V189" s="146"/>
      <c r="W189" s="143"/>
      <c r="X189" s="146"/>
      <c r="Y189" s="143"/>
      <c r="Z189" s="146"/>
      <c r="AA189" s="143"/>
      <c r="AB189" s="147"/>
      <c r="AC189" s="142"/>
      <c r="AD189" s="148"/>
    </row>
    <row r="190" spans="1:30" ht="12.75">
      <c r="A190" s="73"/>
      <c r="B190" s="161"/>
      <c r="C190" s="84"/>
      <c r="D190" s="146"/>
      <c r="E190" s="143"/>
      <c r="F190" s="146"/>
      <c r="G190" s="143"/>
      <c r="H190" s="146"/>
      <c r="I190" s="143"/>
      <c r="J190" s="146"/>
      <c r="K190" s="143"/>
      <c r="L190" s="147"/>
      <c r="M190" s="142"/>
      <c r="N190" s="146"/>
      <c r="O190" s="143"/>
      <c r="P190" s="146"/>
      <c r="Q190" s="143"/>
      <c r="R190" s="146"/>
      <c r="S190" s="143"/>
      <c r="T190" s="147"/>
      <c r="U190" s="142"/>
      <c r="V190" s="146"/>
      <c r="W190" s="143"/>
      <c r="X190" s="146"/>
      <c r="Y190" s="143"/>
      <c r="Z190" s="146"/>
      <c r="AA190" s="143"/>
      <c r="AB190" s="147"/>
      <c r="AC190" s="142"/>
      <c r="AD190" s="148"/>
    </row>
    <row r="191" spans="1:30" ht="12.75">
      <c r="A191" s="73"/>
      <c r="B191" s="161"/>
      <c r="C191" s="84"/>
      <c r="D191" s="146"/>
      <c r="E191" s="143"/>
      <c r="F191" s="146"/>
      <c r="G191" s="143"/>
      <c r="H191" s="146"/>
      <c r="I191" s="143"/>
      <c r="J191" s="146"/>
      <c r="K191" s="143"/>
      <c r="L191" s="147"/>
      <c r="M191" s="142"/>
      <c r="N191" s="146"/>
      <c r="O191" s="143"/>
      <c r="P191" s="146"/>
      <c r="Q191" s="143"/>
      <c r="R191" s="146"/>
      <c r="S191" s="143"/>
      <c r="T191" s="147"/>
      <c r="U191" s="142"/>
      <c r="V191" s="146"/>
      <c r="W191" s="143"/>
      <c r="X191" s="146"/>
      <c r="Y191" s="143"/>
      <c r="Z191" s="146"/>
      <c r="AA191" s="143"/>
      <c r="AB191" s="147"/>
      <c r="AC191" s="142"/>
      <c r="AD191" s="148"/>
    </row>
    <row r="192" spans="1:30" ht="12.75">
      <c r="A192" s="73"/>
      <c r="B192" s="161"/>
      <c r="C192" s="84"/>
      <c r="D192" s="146"/>
      <c r="E192" s="143"/>
      <c r="F192" s="146"/>
      <c r="G192" s="143"/>
      <c r="H192" s="146"/>
      <c r="I192" s="143"/>
      <c r="J192" s="146"/>
      <c r="K192" s="143"/>
      <c r="L192" s="147"/>
      <c r="M192" s="142"/>
      <c r="N192" s="146"/>
      <c r="O192" s="143"/>
      <c r="P192" s="146"/>
      <c r="Q192" s="143"/>
      <c r="R192" s="146"/>
      <c r="S192" s="143"/>
      <c r="T192" s="147"/>
      <c r="U192" s="142"/>
      <c r="V192" s="146"/>
      <c r="W192" s="143"/>
      <c r="X192" s="146"/>
      <c r="Y192" s="143"/>
      <c r="Z192" s="146"/>
      <c r="AA192" s="143"/>
      <c r="AB192" s="147"/>
      <c r="AC192" s="142"/>
      <c r="AD192" s="148"/>
    </row>
    <row r="193" spans="1:30" ht="12.75">
      <c r="A193" s="73"/>
      <c r="B193" s="161"/>
      <c r="C193" s="84"/>
      <c r="D193" s="146"/>
      <c r="E193" s="143"/>
      <c r="F193" s="146"/>
      <c r="G193" s="143"/>
      <c r="H193" s="146"/>
      <c r="I193" s="143"/>
      <c r="J193" s="146"/>
      <c r="K193" s="143"/>
      <c r="L193" s="147"/>
      <c r="M193" s="142"/>
      <c r="N193" s="146"/>
      <c r="O193" s="143"/>
      <c r="P193" s="146"/>
      <c r="Q193" s="143"/>
      <c r="R193" s="146"/>
      <c r="S193" s="143"/>
      <c r="T193" s="147"/>
      <c r="U193" s="142"/>
      <c r="V193" s="146"/>
      <c r="W193" s="143"/>
      <c r="X193" s="146"/>
      <c r="Y193" s="143"/>
      <c r="Z193" s="146"/>
      <c r="AA193" s="143"/>
      <c r="AB193" s="147"/>
      <c r="AC193" s="142"/>
      <c r="AD193" s="148"/>
    </row>
    <row r="194" spans="1:30" ht="12.75">
      <c r="A194" s="73"/>
      <c r="B194" s="161"/>
      <c r="C194" s="84"/>
      <c r="D194" s="146"/>
      <c r="E194" s="143"/>
      <c r="F194" s="146"/>
      <c r="G194" s="143"/>
      <c r="H194" s="146"/>
      <c r="I194" s="143"/>
      <c r="J194" s="146"/>
      <c r="K194" s="143"/>
      <c r="L194" s="147"/>
      <c r="M194" s="142"/>
      <c r="N194" s="146"/>
      <c r="O194" s="143"/>
      <c r="P194" s="146"/>
      <c r="Q194" s="143"/>
      <c r="R194" s="146"/>
      <c r="S194" s="143"/>
      <c r="T194" s="147"/>
      <c r="U194" s="142"/>
      <c r="V194" s="146"/>
      <c r="W194" s="143"/>
      <c r="X194" s="146"/>
      <c r="Y194" s="143"/>
      <c r="Z194" s="146"/>
      <c r="AA194" s="143"/>
      <c r="AB194" s="147"/>
      <c r="AC194" s="142"/>
      <c r="AD194" s="148"/>
    </row>
    <row r="195" spans="1:30" ht="12.75">
      <c r="A195" s="73"/>
      <c r="B195" s="161"/>
      <c r="C195" s="84"/>
      <c r="D195" s="146"/>
      <c r="E195" s="143"/>
      <c r="F195" s="146"/>
      <c r="G195" s="143"/>
      <c r="H195" s="146"/>
      <c r="I195" s="143"/>
      <c r="J195" s="146"/>
      <c r="K195" s="143"/>
      <c r="L195" s="147"/>
      <c r="M195" s="142"/>
      <c r="N195" s="146"/>
      <c r="O195" s="143"/>
      <c r="P195" s="146"/>
      <c r="Q195" s="143"/>
      <c r="R195" s="146"/>
      <c r="S195" s="143"/>
      <c r="T195" s="147"/>
      <c r="U195" s="142"/>
      <c r="V195" s="146"/>
      <c r="W195" s="143"/>
      <c r="X195" s="146"/>
      <c r="Y195" s="143"/>
      <c r="Z195" s="146"/>
      <c r="AA195" s="143"/>
      <c r="AB195" s="147"/>
      <c r="AC195" s="142"/>
      <c r="AD195" s="148"/>
    </row>
    <row r="196" spans="1:30" ht="12.75">
      <c r="A196" s="73"/>
      <c r="B196" s="161"/>
      <c r="C196" s="84"/>
      <c r="D196" s="146"/>
      <c r="E196" s="143"/>
      <c r="F196" s="146"/>
      <c r="G196" s="143"/>
      <c r="H196" s="146"/>
      <c r="I196" s="143"/>
      <c r="J196" s="146"/>
      <c r="K196" s="143"/>
      <c r="L196" s="147"/>
      <c r="M196" s="142"/>
      <c r="N196" s="146"/>
      <c r="O196" s="143"/>
      <c r="P196" s="146"/>
      <c r="Q196" s="143"/>
      <c r="R196" s="146"/>
      <c r="S196" s="143"/>
      <c r="T196" s="147"/>
      <c r="U196" s="142"/>
      <c r="V196" s="146"/>
      <c r="W196" s="143"/>
      <c r="X196" s="146"/>
      <c r="Y196" s="143"/>
      <c r="Z196" s="146"/>
      <c r="AA196" s="143"/>
      <c r="AB196" s="147"/>
      <c r="AC196" s="142"/>
      <c r="AD196" s="148"/>
    </row>
    <row r="197" spans="1:30" ht="12.75">
      <c r="A197" s="73"/>
      <c r="B197" s="161"/>
      <c r="C197" s="84"/>
      <c r="D197" s="146"/>
      <c r="E197" s="143"/>
      <c r="F197" s="146"/>
      <c r="G197" s="143"/>
      <c r="H197" s="146"/>
      <c r="I197" s="143"/>
      <c r="J197" s="146"/>
      <c r="K197" s="143"/>
      <c r="L197" s="147"/>
      <c r="M197" s="142"/>
      <c r="N197" s="146"/>
      <c r="O197" s="143"/>
      <c r="P197" s="146"/>
      <c r="Q197" s="143"/>
      <c r="R197" s="146"/>
      <c r="S197" s="143"/>
      <c r="T197" s="147"/>
      <c r="U197" s="142"/>
      <c r="V197" s="146"/>
      <c r="W197" s="143"/>
      <c r="X197" s="146"/>
      <c r="Y197" s="143"/>
      <c r="Z197" s="146"/>
      <c r="AA197" s="143"/>
      <c r="AB197" s="147"/>
      <c r="AC197" s="142"/>
      <c r="AD197" s="148"/>
    </row>
    <row r="198" spans="1:30" ht="12.75">
      <c r="A198" s="73"/>
      <c r="B198" s="161"/>
      <c r="C198" s="84"/>
      <c r="D198" s="146"/>
      <c r="E198" s="143"/>
      <c r="F198" s="146"/>
      <c r="G198" s="143"/>
      <c r="H198" s="146"/>
      <c r="I198" s="143"/>
      <c r="J198" s="146"/>
      <c r="K198" s="143"/>
      <c r="L198" s="147"/>
      <c r="M198" s="142"/>
      <c r="N198" s="146"/>
      <c r="O198" s="143"/>
      <c r="P198" s="146"/>
      <c r="Q198" s="143"/>
      <c r="R198" s="146"/>
      <c r="S198" s="143"/>
      <c r="T198" s="147"/>
      <c r="U198" s="142"/>
      <c r="V198" s="146"/>
      <c r="W198" s="143"/>
      <c r="X198" s="146"/>
      <c r="Y198" s="143"/>
      <c r="Z198" s="146"/>
      <c r="AA198" s="143"/>
      <c r="AB198" s="147"/>
      <c r="AC198" s="142"/>
      <c r="AD198" s="148"/>
    </row>
    <row r="199" spans="1:30" ht="12.75">
      <c r="A199" s="73"/>
      <c r="B199" s="161"/>
      <c r="C199" s="84"/>
      <c r="D199" s="146"/>
      <c r="E199" s="143"/>
      <c r="F199" s="146"/>
      <c r="G199" s="143"/>
      <c r="H199" s="146"/>
      <c r="I199" s="143"/>
      <c r="J199" s="146"/>
      <c r="K199" s="143"/>
      <c r="L199" s="147"/>
      <c r="M199" s="142"/>
      <c r="N199" s="146"/>
      <c r="O199" s="143"/>
      <c r="P199" s="146"/>
      <c r="Q199" s="143"/>
      <c r="R199" s="146"/>
      <c r="S199" s="143"/>
      <c r="T199" s="147"/>
      <c r="U199" s="142"/>
      <c r="V199" s="146"/>
      <c r="W199" s="143"/>
      <c r="X199" s="146"/>
      <c r="Y199" s="143"/>
      <c r="Z199" s="146"/>
      <c r="AA199" s="143"/>
      <c r="AB199" s="147"/>
      <c r="AC199" s="142"/>
      <c r="AD199" s="148"/>
    </row>
    <row r="200" spans="1:30" ht="12.75">
      <c r="A200" s="73"/>
      <c r="B200" s="161"/>
      <c r="C200" s="84"/>
      <c r="D200" s="146"/>
      <c r="E200" s="143"/>
      <c r="F200" s="146"/>
      <c r="G200" s="143"/>
      <c r="H200" s="146"/>
      <c r="I200" s="143"/>
      <c r="J200" s="146"/>
      <c r="K200" s="143"/>
      <c r="L200" s="147"/>
      <c r="M200" s="142"/>
      <c r="N200" s="146"/>
      <c r="O200" s="143"/>
      <c r="P200" s="146"/>
      <c r="Q200" s="143"/>
      <c r="R200" s="146"/>
      <c r="S200" s="143"/>
      <c r="T200" s="147"/>
      <c r="U200" s="142"/>
      <c r="V200" s="146"/>
      <c r="W200" s="143"/>
      <c r="X200" s="146"/>
      <c r="Y200" s="143"/>
      <c r="Z200" s="146"/>
      <c r="AA200" s="143"/>
      <c r="AB200" s="147"/>
      <c r="AC200" s="142"/>
      <c r="AD200" s="148"/>
    </row>
    <row r="201" spans="1:30" ht="12.75">
      <c r="A201" s="73"/>
      <c r="B201" s="161"/>
      <c r="C201" s="84"/>
      <c r="D201" s="146"/>
      <c r="E201" s="143"/>
      <c r="F201" s="146"/>
      <c r="G201" s="143"/>
      <c r="H201" s="146"/>
      <c r="I201" s="143"/>
      <c r="J201" s="146"/>
      <c r="K201" s="143"/>
      <c r="L201" s="147"/>
      <c r="M201" s="142"/>
      <c r="N201" s="146"/>
      <c r="O201" s="143"/>
      <c r="P201" s="146"/>
      <c r="Q201" s="143"/>
      <c r="R201" s="146"/>
      <c r="S201" s="143"/>
      <c r="T201" s="147"/>
      <c r="U201" s="142"/>
      <c r="V201" s="146"/>
      <c r="W201" s="143"/>
      <c r="X201" s="146"/>
      <c r="Y201" s="143"/>
      <c r="Z201" s="146"/>
      <c r="AA201" s="143"/>
      <c r="AB201" s="147"/>
      <c r="AC201" s="142"/>
      <c r="AD201" s="148"/>
    </row>
    <row r="202" spans="1:30" ht="12.75">
      <c r="A202" s="73"/>
      <c r="B202" s="161"/>
      <c r="C202" s="84"/>
      <c r="D202" s="146"/>
      <c r="E202" s="143"/>
      <c r="F202" s="146"/>
      <c r="G202" s="143"/>
      <c r="H202" s="146"/>
      <c r="I202" s="143"/>
      <c r="J202" s="146"/>
      <c r="K202" s="143"/>
      <c r="L202" s="147"/>
      <c r="M202" s="142"/>
      <c r="N202" s="146"/>
      <c r="O202" s="143"/>
      <c r="P202" s="146"/>
      <c r="Q202" s="143"/>
      <c r="R202" s="146"/>
      <c r="S202" s="143"/>
      <c r="T202" s="147"/>
      <c r="U202" s="142"/>
      <c r="V202" s="146"/>
      <c r="W202" s="143"/>
      <c r="X202" s="146"/>
      <c r="Y202" s="143"/>
      <c r="Z202" s="146"/>
      <c r="AA202" s="143"/>
      <c r="AB202" s="147"/>
      <c r="AC202" s="142"/>
      <c r="AD202" s="148"/>
    </row>
    <row r="203" spans="1:30" ht="12.75">
      <c r="A203" s="73"/>
      <c r="B203" s="161"/>
      <c r="C203" s="84"/>
      <c r="D203" s="146"/>
      <c r="E203" s="143"/>
      <c r="F203" s="146"/>
      <c r="G203" s="143"/>
      <c r="H203" s="146"/>
      <c r="I203" s="143"/>
      <c r="J203" s="146"/>
      <c r="K203" s="143"/>
      <c r="L203" s="147"/>
      <c r="M203" s="142"/>
      <c r="N203" s="146"/>
      <c r="O203" s="143"/>
      <c r="P203" s="146"/>
      <c r="Q203" s="143"/>
      <c r="R203" s="146"/>
      <c r="S203" s="143"/>
      <c r="T203" s="147"/>
      <c r="U203" s="142"/>
      <c r="V203" s="146"/>
      <c r="W203" s="143"/>
      <c r="X203" s="146"/>
      <c r="Y203" s="143"/>
      <c r="Z203" s="146"/>
      <c r="AA203" s="143"/>
      <c r="AB203" s="147"/>
      <c r="AC203" s="142"/>
      <c r="AD203" s="148"/>
    </row>
    <row r="204" spans="1:30" ht="12.75">
      <c r="A204" s="73"/>
      <c r="B204" s="161"/>
      <c r="C204" s="84"/>
      <c r="D204" s="146"/>
      <c r="E204" s="143"/>
      <c r="F204" s="146"/>
      <c r="G204" s="143"/>
      <c r="H204" s="146"/>
      <c r="I204" s="143"/>
      <c r="J204" s="146"/>
      <c r="K204" s="143"/>
      <c r="L204" s="147"/>
      <c r="M204" s="142"/>
      <c r="N204" s="146"/>
      <c r="O204" s="143"/>
      <c r="P204" s="146"/>
      <c r="Q204" s="143"/>
      <c r="R204" s="146"/>
      <c r="S204" s="143"/>
      <c r="T204" s="147"/>
      <c r="U204" s="142"/>
      <c r="V204" s="146"/>
      <c r="W204" s="143"/>
      <c r="X204" s="146"/>
      <c r="Y204" s="143"/>
      <c r="Z204" s="146"/>
      <c r="AA204" s="143"/>
      <c r="AB204" s="147"/>
      <c r="AC204" s="142"/>
      <c r="AD204" s="148"/>
    </row>
    <row r="205" spans="1:30" ht="12.75">
      <c r="A205" s="73"/>
      <c r="B205" s="161"/>
      <c r="C205" s="84"/>
      <c r="D205" s="146"/>
      <c r="E205" s="143"/>
      <c r="F205" s="146"/>
      <c r="G205" s="143"/>
      <c r="H205" s="146"/>
      <c r="I205" s="143"/>
      <c r="J205" s="146"/>
      <c r="K205" s="143"/>
      <c r="L205" s="147"/>
      <c r="M205" s="142"/>
      <c r="N205" s="146"/>
      <c r="O205" s="143"/>
      <c r="P205" s="146"/>
      <c r="Q205" s="143"/>
      <c r="R205" s="146"/>
      <c r="S205" s="143"/>
      <c r="T205" s="147"/>
      <c r="U205" s="142"/>
      <c r="V205" s="146"/>
      <c r="W205" s="143"/>
      <c r="X205" s="146"/>
      <c r="Y205" s="143"/>
      <c r="Z205" s="146"/>
      <c r="AA205" s="143"/>
      <c r="AB205" s="147"/>
      <c r="AC205" s="142"/>
      <c r="AD205" s="148"/>
    </row>
    <row r="206" spans="1:30" ht="12.75">
      <c r="A206" s="73"/>
      <c r="B206" s="161"/>
      <c r="C206" s="84"/>
      <c r="D206" s="146"/>
      <c r="E206" s="143"/>
      <c r="F206" s="146"/>
      <c r="G206" s="143"/>
      <c r="H206" s="146"/>
      <c r="I206" s="143"/>
      <c r="J206" s="146"/>
      <c r="K206" s="143"/>
      <c r="L206" s="147"/>
      <c r="M206" s="142"/>
      <c r="N206" s="146"/>
      <c r="O206" s="143"/>
      <c r="P206" s="146"/>
      <c r="Q206" s="143"/>
      <c r="R206" s="146"/>
      <c r="S206" s="143"/>
      <c r="T206" s="147"/>
      <c r="U206" s="142"/>
      <c r="V206" s="146"/>
      <c r="W206" s="143"/>
      <c r="X206" s="146"/>
      <c r="Y206" s="143"/>
      <c r="Z206" s="146"/>
      <c r="AA206" s="143"/>
      <c r="AB206" s="147"/>
      <c r="AC206" s="142"/>
      <c r="AD206" s="148"/>
    </row>
    <row r="207" spans="1:30" ht="12.75">
      <c r="A207" s="73"/>
      <c r="B207" s="161"/>
      <c r="C207" s="84"/>
      <c r="D207" s="146"/>
      <c r="E207" s="143"/>
      <c r="F207" s="146"/>
      <c r="G207" s="143"/>
      <c r="H207" s="146"/>
      <c r="I207" s="143"/>
      <c r="J207" s="146"/>
      <c r="K207" s="143"/>
      <c r="L207" s="147"/>
      <c r="M207" s="142"/>
      <c r="N207" s="146"/>
      <c r="O207" s="143"/>
      <c r="P207" s="146"/>
      <c r="Q207" s="143"/>
      <c r="R207" s="146"/>
      <c r="S207" s="143"/>
      <c r="T207" s="147"/>
      <c r="U207" s="142"/>
      <c r="V207" s="146"/>
      <c r="W207" s="143"/>
      <c r="X207" s="146"/>
      <c r="Y207" s="143"/>
      <c r="Z207" s="146"/>
      <c r="AA207" s="143"/>
      <c r="AB207" s="147"/>
      <c r="AC207" s="142"/>
      <c r="AD207" s="148"/>
    </row>
    <row r="208" spans="1:30" ht="12.75">
      <c r="A208" s="73"/>
      <c r="B208" s="161"/>
      <c r="C208" s="84"/>
      <c r="D208" s="146"/>
      <c r="E208" s="143"/>
      <c r="F208" s="146"/>
      <c r="G208" s="143"/>
      <c r="H208" s="146"/>
      <c r="I208" s="143"/>
      <c r="J208" s="146"/>
      <c r="K208" s="143"/>
      <c r="L208" s="147"/>
      <c r="M208" s="142"/>
      <c r="N208" s="146"/>
      <c r="O208" s="143"/>
      <c r="P208" s="146"/>
      <c r="Q208" s="143"/>
      <c r="R208" s="146"/>
      <c r="S208" s="143"/>
      <c r="T208" s="147"/>
      <c r="U208" s="142"/>
      <c r="V208" s="146"/>
      <c r="W208" s="143"/>
      <c r="X208" s="146"/>
      <c r="Y208" s="143"/>
      <c r="Z208" s="146"/>
      <c r="AA208" s="143"/>
      <c r="AB208" s="147"/>
      <c r="AC208" s="142"/>
      <c r="AD208" s="148"/>
    </row>
    <row r="209" spans="1:30" ht="12.75">
      <c r="A209" s="73"/>
      <c r="B209" s="161"/>
      <c r="C209" s="84"/>
      <c r="D209" s="146"/>
      <c r="E209" s="143"/>
      <c r="F209" s="146"/>
      <c r="G209" s="143"/>
      <c r="H209" s="146"/>
      <c r="I209" s="143"/>
      <c r="J209" s="146"/>
      <c r="K209" s="143"/>
      <c r="L209" s="147"/>
      <c r="M209" s="142"/>
      <c r="N209" s="146"/>
      <c r="O209" s="143"/>
      <c r="P209" s="146"/>
      <c r="Q209" s="143"/>
      <c r="R209" s="146"/>
      <c r="S209" s="143"/>
      <c r="T209" s="147"/>
      <c r="U209" s="142"/>
      <c r="V209" s="146"/>
      <c r="W209" s="143"/>
      <c r="X209" s="146"/>
      <c r="Y209" s="143"/>
      <c r="Z209" s="146"/>
      <c r="AA209" s="143"/>
      <c r="AB209" s="147"/>
      <c r="AC209" s="142"/>
      <c r="AD209" s="148"/>
    </row>
    <row r="210" spans="1:30" ht="12.75">
      <c r="A210" s="73"/>
      <c r="B210" s="161"/>
      <c r="C210" s="84"/>
      <c r="D210" s="146"/>
      <c r="E210" s="143"/>
      <c r="F210" s="146"/>
      <c r="G210" s="143"/>
      <c r="H210" s="146"/>
      <c r="I210" s="143"/>
      <c r="J210" s="146"/>
      <c r="K210" s="143"/>
      <c r="L210" s="147"/>
      <c r="M210" s="142"/>
      <c r="N210" s="146"/>
      <c r="O210" s="143"/>
      <c r="P210" s="146"/>
      <c r="Q210" s="143"/>
      <c r="R210" s="146"/>
      <c r="S210" s="143"/>
      <c r="T210" s="147"/>
      <c r="U210" s="142"/>
      <c r="V210" s="146"/>
      <c r="W210" s="143"/>
      <c r="X210" s="146"/>
      <c r="Y210" s="143"/>
      <c r="Z210" s="146"/>
      <c r="AA210" s="143"/>
      <c r="AB210" s="147"/>
      <c r="AC210" s="142"/>
      <c r="AD210" s="148"/>
    </row>
    <row r="211" spans="1:30" ht="12.75">
      <c r="A211" s="73"/>
      <c r="B211" s="161"/>
      <c r="C211" s="84"/>
      <c r="D211" s="146"/>
      <c r="E211" s="143"/>
      <c r="F211" s="146"/>
      <c r="G211" s="143"/>
      <c r="H211" s="146"/>
      <c r="I211" s="143"/>
      <c r="J211" s="146"/>
      <c r="K211" s="143"/>
      <c r="L211" s="147"/>
      <c r="M211" s="142"/>
      <c r="N211" s="146"/>
      <c r="O211" s="143"/>
      <c r="P211" s="146"/>
      <c r="Q211" s="143"/>
      <c r="R211" s="146"/>
      <c r="S211" s="143"/>
      <c r="T211" s="147"/>
      <c r="U211" s="142"/>
      <c r="V211" s="146"/>
      <c r="W211" s="143"/>
      <c r="X211" s="146"/>
      <c r="Y211" s="143"/>
      <c r="Z211" s="146"/>
      <c r="AA211" s="143"/>
      <c r="AB211" s="147"/>
      <c r="AC211" s="142"/>
      <c r="AD211" s="148"/>
    </row>
    <row r="212" spans="1:30" ht="12.75">
      <c r="A212" s="73"/>
      <c r="B212" s="161"/>
      <c r="C212" s="84"/>
      <c r="D212" s="146"/>
      <c r="E212" s="143"/>
      <c r="F212" s="146"/>
      <c r="G212" s="143"/>
      <c r="H212" s="146"/>
      <c r="I212" s="143"/>
      <c r="J212" s="146"/>
      <c r="K212" s="143"/>
      <c r="L212" s="147"/>
      <c r="M212" s="142"/>
      <c r="N212" s="146"/>
      <c r="O212" s="143"/>
      <c r="P212" s="146"/>
      <c r="Q212" s="143"/>
      <c r="R212" s="146"/>
      <c r="S212" s="143"/>
      <c r="T212" s="147"/>
      <c r="U212" s="142"/>
      <c r="V212" s="146"/>
      <c r="W212" s="143"/>
      <c r="X212" s="146"/>
      <c r="Y212" s="143"/>
      <c r="Z212" s="146"/>
      <c r="AA212" s="143"/>
      <c r="AB212" s="147"/>
      <c r="AC212" s="142"/>
      <c r="AD212" s="148"/>
    </row>
    <row r="213" spans="1:30" ht="12.75">
      <c r="A213" s="73"/>
      <c r="B213" s="161"/>
      <c r="C213" s="84"/>
      <c r="D213" s="146"/>
      <c r="E213" s="143"/>
      <c r="F213" s="146"/>
      <c r="G213" s="143"/>
      <c r="H213" s="146"/>
      <c r="I213" s="143"/>
      <c r="J213" s="146"/>
      <c r="K213" s="143"/>
      <c r="L213" s="147"/>
      <c r="M213" s="142"/>
      <c r="N213" s="146"/>
      <c r="O213" s="143"/>
      <c r="P213" s="146"/>
      <c r="Q213" s="143"/>
      <c r="R213" s="146"/>
      <c r="S213" s="143"/>
      <c r="T213" s="147"/>
      <c r="U213" s="142"/>
      <c r="V213" s="146"/>
      <c r="W213" s="143"/>
      <c r="X213" s="146"/>
      <c r="Y213" s="143"/>
      <c r="Z213" s="146"/>
      <c r="AA213" s="143"/>
      <c r="AB213" s="147"/>
      <c r="AC213" s="142"/>
      <c r="AD213" s="148"/>
    </row>
    <row r="214" spans="1:30" ht="12.75">
      <c r="A214" s="73"/>
      <c r="B214" s="161"/>
      <c r="C214" s="84"/>
      <c r="D214" s="146"/>
      <c r="E214" s="143"/>
      <c r="F214" s="146"/>
      <c r="G214" s="143"/>
      <c r="H214" s="146"/>
      <c r="I214" s="143"/>
      <c r="J214" s="146"/>
      <c r="K214" s="143"/>
      <c r="L214" s="147"/>
      <c r="M214" s="142"/>
      <c r="N214" s="146"/>
      <c r="O214" s="143"/>
      <c r="P214" s="146"/>
      <c r="Q214" s="143"/>
      <c r="R214" s="146"/>
      <c r="S214" s="143"/>
      <c r="T214" s="147"/>
      <c r="U214" s="142"/>
      <c r="V214" s="146"/>
      <c r="W214" s="143"/>
      <c r="X214" s="146"/>
      <c r="Y214" s="143"/>
      <c r="Z214" s="146"/>
      <c r="AA214" s="143"/>
      <c r="AB214" s="147"/>
      <c r="AC214" s="142"/>
      <c r="AD214" s="148"/>
    </row>
    <row r="215" spans="1:30" ht="12.75">
      <c r="A215" s="73"/>
      <c r="B215" s="161"/>
      <c r="C215" s="84"/>
      <c r="D215" s="146"/>
      <c r="E215" s="143"/>
      <c r="F215" s="146"/>
      <c r="G215" s="143"/>
      <c r="H215" s="146"/>
      <c r="I215" s="143"/>
      <c r="J215" s="146"/>
      <c r="K215" s="143"/>
      <c r="L215" s="147"/>
      <c r="M215" s="142"/>
      <c r="N215" s="146"/>
      <c r="O215" s="143"/>
      <c r="P215" s="146"/>
      <c r="Q215" s="143"/>
      <c r="R215" s="146"/>
      <c r="S215" s="143"/>
      <c r="T215" s="147"/>
      <c r="U215" s="142"/>
      <c r="V215" s="146"/>
      <c r="W215" s="143"/>
      <c r="X215" s="146"/>
      <c r="Y215" s="143"/>
      <c r="Z215" s="146"/>
      <c r="AA215" s="143"/>
      <c r="AB215" s="147"/>
      <c r="AC215" s="142"/>
      <c r="AD215" s="148"/>
    </row>
    <row r="216" spans="1:30" ht="12.75">
      <c r="A216" s="73"/>
      <c r="B216" s="161"/>
      <c r="C216" s="84"/>
      <c r="D216" s="146"/>
      <c r="E216" s="143"/>
      <c r="F216" s="146"/>
      <c r="G216" s="143"/>
      <c r="H216" s="146"/>
      <c r="I216" s="143"/>
      <c r="J216" s="146"/>
      <c r="K216" s="143"/>
      <c r="L216" s="147"/>
      <c r="M216" s="142"/>
      <c r="N216" s="146"/>
      <c r="O216" s="143"/>
      <c r="P216" s="146"/>
      <c r="Q216" s="143"/>
      <c r="R216" s="146"/>
      <c r="S216" s="143"/>
      <c r="T216" s="147"/>
      <c r="U216" s="142"/>
      <c r="V216" s="146"/>
      <c r="W216" s="143"/>
      <c r="X216" s="146"/>
      <c r="Y216" s="143"/>
      <c r="Z216" s="146"/>
      <c r="AA216" s="143"/>
      <c r="AB216" s="147"/>
      <c r="AC216" s="142"/>
      <c r="AD216" s="148"/>
    </row>
    <row r="217" spans="1:30" ht="12.75">
      <c r="A217" s="73"/>
      <c r="B217" s="161"/>
      <c r="C217" s="84"/>
      <c r="D217" s="146"/>
      <c r="E217" s="143"/>
      <c r="F217" s="146"/>
      <c r="G217" s="143"/>
      <c r="H217" s="146"/>
      <c r="I217" s="143"/>
      <c r="J217" s="146"/>
      <c r="K217" s="143"/>
      <c r="L217" s="147"/>
      <c r="M217" s="142"/>
      <c r="N217" s="146"/>
      <c r="O217" s="143"/>
      <c r="P217" s="146"/>
      <c r="Q217" s="143"/>
      <c r="R217" s="146"/>
      <c r="S217" s="143"/>
      <c r="T217" s="147"/>
      <c r="U217" s="142"/>
      <c r="V217" s="146"/>
      <c r="W217" s="143"/>
      <c r="X217" s="146"/>
      <c r="Y217" s="143"/>
      <c r="Z217" s="146"/>
      <c r="AA217" s="143"/>
      <c r="AB217" s="147"/>
      <c r="AC217" s="142"/>
      <c r="AD217" s="148"/>
    </row>
    <row r="218" spans="1:30" ht="12.75">
      <c r="A218" s="73"/>
      <c r="B218" s="161"/>
      <c r="C218" s="84"/>
      <c r="D218" s="146"/>
      <c r="E218" s="143"/>
      <c r="F218" s="146"/>
      <c r="G218" s="143"/>
      <c r="H218" s="146"/>
      <c r="I218" s="143"/>
      <c r="J218" s="146"/>
      <c r="K218" s="143"/>
      <c r="L218" s="147"/>
      <c r="M218" s="142"/>
      <c r="N218" s="146"/>
      <c r="O218" s="143"/>
      <c r="P218" s="146"/>
      <c r="Q218" s="143"/>
      <c r="R218" s="146"/>
      <c r="S218" s="143"/>
      <c r="T218" s="147"/>
      <c r="U218" s="142"/>
      <c r="V218" s="146"/>
      <c r="W218" s="143"/>
      <c r="X218" s="146"/>
      <c r="Y218" s="143"/>
      <c r="Z218" s="146"/>
      <c r="AA218" s="143"/>
      <c r="AB218" s="147"/>
      <c r="AC218" s="142"/>
      <c r="AD218" s="148"/>
    </row>
    <row r="219" spans="1:30" ht="12.75">
      <c r="A219" s="73"/>
      <c r="B219" s="161"/>
      <c r="C219" s="84"/>
      <c r="D219" s="146"/>
      <c r="E219" s="143"/>
      <c r="F219" s="146"/>
      <c r="G219" s="143"/>
      <c r="H219" s="146"/>
      <c r="I219" s="143"/>
      <c r="J219" s="146"/>
      <c r="K219" s="143"/>
      <c r="L219" s="147"/>
      <c r="M219" s="142"/>
      <c r="N219" s="146"/>
      <c r="O219" s="143"/>
      <c r="P219" s="146"/>
      <c r="Q219" s="143"/>
      <c r="R219" s="146"/>
      <c r="S219" s="143"/>
      <c r="T219" s="147"/>
      <c r="U219" s="142"/>
      <c r="V219" s="146"/>
      <c r="W219" s="143"/>
      <c r="X219" s="146"/>
      <c r="Y219" s="143"/>
      <c r="Z219" s="146"/>
      <c r="AA219" s="143"/>
      <c r="AB219" s="147"/>
      <c r="AC219" s="142"/>
      <c r="AD219" s="148"/>
    </row>
    <row r="220" spans="1:30" ht="12.75">
      <c r="A220" s="73"/>
      <c r="B220" s="161"/>
      <c r="C220" s="84"/>
      <c r="D220" s="146"/>
      <c r="E220" s="143"/>
      <c r="F220" s="146"/>
      <c r="G220" s="143"/>
      <c r="H220" s="146"/>
      <c r="I220" s="143"/>
      <c r="J220" s="146"/>
      <c r="K220" s="143"/>
      <c r="L220" s="147"/>
      <c r="M220" s="142"/>
      <c r="N220" s="146"/>
      <c r="O220" s="143"/>
      <c r="P220" s="146"/>
      <c r="Q220" s="143"/>
      <c r="R220" s="146"/>
      <c r="S220" s="143"/>
      <c r="T220" s="147"/>
      <c r="U220" s="142"/>
      <c r="V220" s="146"/>
      <c r="W220" s="143"/>
      <c r="X220" s="146"/>
      <c r="Y220" s="143"/>
      <c r="Z220" s="146"/>
      <c r="AA220" s="143"/>
      <c r="AB220" s="147"/>
      <c r="AC220" s="142"/>
      <c r="AD220" s="148"/>
    </row>
    <row r="221" spans="1:30" ht="12.75">
      <c r="A221" s="73"/>
      <c r="B221" s="161"/>
      <c r="C221" s="84"/>
      <c r="D221" s="146"/>
      <c r="E221" s="143"/>
      <c r="F221" s="146"/>
      <c r="G221" s="143"/>
      <c r="H221" s="146"/>
      <c r="I221" s="143"/>
      <c r="J221" s="146"/>
      <c r="K221" s="143"/>
      <c r="L221" s="147"/>
      <c r="M221" s="142"/>
      <c r="N221" s="146"/>
      <c r="O221" s="143"/>
      <c r="P221" s="146"/>
      <c r="Q221" s="143"/>
      <c r="R221" s="146"/>
      <c r="S221" s="143"/>
      <c r="T221" s="147"/>
      <c r="U221" s="142"/>
      <c r="V221" s="146"/>
      <c r="W221" s="143"/>
      <c r="X221" s="146"/>
      <c r="Y221" s="143"/>
      <c r="Z221" s="146"/>
      <c r="AA221" s="143"/>
      <c r="AB221" s="147"/>
      <c r="AC221" s="142"/>
      <c r="AD221" s="148"/>
    </row>
    <row r="222" spans="1:30" ht="12.75">
      <c r="A222" s="73"/>
      <c r="B222" s="161"/>
      <c r="C222" s="84"/>
      <c r="D222" s="146"/>
      <c r="E222" s="143"/>
      <c r="F222" s="146"/>
      <c r="G222" s="143"/>
      <c r="H222" s="146"/>
      <c r="I222" s="143"/>
      <c r="J222" s="146"/>
      <c r="K222" s="143"/>
      <c r="L222" s="147"/>
      <c r="M222" s="142"/>
      <c r="N222" s="146"/>
      <c r="O222" s="143"/>
      <c r="P222" s="146"/>
      <c r="Q222" s="143"/>
      <c r="R222" s="146"/>
      <c r="S222" s="143"/>
      <c r="T222" s="147"/>
      <c r="U222" s="142"/>
      <c r="V222" s="146"/>
      <c r="W222" s="143"/>
      <c r="X222" s="146"/>
      <c r="Y222" s="143"/>
      <c r="Z222" s="146"/>
      <c r="AA222" s="143"/>
      <c r="AB222" s="147"/>
      <c r="AC222" s="142"/>
      <c r="AD222" s="148"/>
    </row>
    <row r="223" spans="1:30" ht="12.75">
      <c r="A223" s="73"/>
      <c r="B223" s="161"/>
      <c r="C223" s="84"/>
      <c r="D223" s="146"/>
      <c r="E223" s="143"/>
      <c r="F223" s="146"/>
      <c r="G223" s="143"/>
      <c r="H223" s="146"/>
      <c r="I223" s="143"/>
      <c r="J223" s="146"/>
      <c r="K223" s="143"/>
      <c r="L223" s="147"/>
      <c r="M223" s="142"/>
      <c r="N223" s="146"/>
      <c r="O223" s="143"/>
      <c r="P223" s="146"/>
      <c r="Q223" s="143"/>
      <c r="R223" s="146"/>
      <c r="S223" s="143"/>
      <c r="T223" s="147"/>
      <c r="U223" s="142"/>
      <c r="V223" s="146"/>
      <c r="W223" s="143"/>
      <c r="X223" s="146"/>
      <c r="Y223" s="143"/>
      <c r="Z223" s="146"/>
      <c r="AA223" s="143"/>
      <c r="AB223" s="147"/>
      <c r="AC223" s="142"/>
      <c r="AD223" s="148"/>
    </row>
    <row r="224" spans="1:30" ht="12.75">
      <c r="A224" s="73"/>
      <c r="B224" s="161"/>
      <c r="C224" s="84"/>
      <c r="D224" s="146"/>
      <c r="E224" s="143"/>
      <c r="F224" s="146"/>
      <c r="G224" s="143"/>
      <c r="H224" s="146"/>
      <c r="I224" s="143"/>
      <c r="J224" s="146"/>
      <c r="K224" s="143"/>
      <c r="L224" s="147"/>
      <c r="M224" s="142"/>
      <c r="N224" s="146"/>
      <c r="O224" s="143"/>
      <c r="P224" s="146"/>
      <c r="Q224" s="143"/>
      <c r="R224" s="146"/>
      <c r="S224" s="143"/>
      <c r="T224" s="147"/>
      <c r="U224" s="142"/>
      <c r="V224" s="146"/>
      <c r="W224" s="143"/>
      <c r="X224" s="146"/>
      <c r="Y224" s="143"/>
      <c r="Z224" s="146"/>
      <c r="AA224" s="143"/>
      <c r="AB224" s="147"/>
      <c r="AC224" s="142"/>
      <c r="AD224" s="148"/>
    </row>
    <row r="225" spans="1:30" ht="12.75">
      <c r="A225" s="73"/>
      <c r="B225" s="161"/>
      <c r="C225" s="84"/>
      <c r="D225" s="146"/>
      <c r="E225" s="143"/>
      <c r="F225" s="146"/>
      <c r="G225" s="143"/>
      <c r="H225" s="146"/>
      <c r="I225" s="143"/>
      <c r="J225" s="146"/>
      <c r="K225" s="143"/>
      <c r="L225" s="147"/>
      <c r="M225" s="142"/>
      <c r="N225" s="146"/>
      <c r="O225" s="143"/>
      <c r="P225" s="146"/>
      <c r="Q225" s="143"/>
      <c r="R225" s="146"/>
      <c r="S225" s="143"/>
      <c r="T225" s="147"/>
      <c r="U225" s="142"/>
      <c r="V225" s="146"/>
      <c r="W225" s="143"/>
      <c r="X225" s="146"/>
      <c r="Y225" s="143"/>
      <c r="Z225" s="146"/>
      <c r="AA225" s="143"/>
      <c r="AB225" s="147"/>
      <c r="AC225" s="142"/>
      <c r="AD225" s="148"/>
    </row>
    <row r="226" spans="1:30" ht="12.75">
      <c r="A226" s="73"/>
      <c r="B226" s="161"/>
      <c r="C226" s="84"/>
      <c r="D226" s="146"/>
      <c r="E226" s="143"/>
      <c r="F226" s="146"/>
      <c r="G226" s="143"/>
      <c r="H226" s="146"/>
      <c r="I226" s="143"/>
      <c r="J226" s="146"/>
      <c r="K226" s="143"/>
      <c r="L226" s="147"/>
      <c r="M226" s="142"/>
      <c r="N226" s="146"/>
      <c r="O226" s="143"/>
      <c r="P226" s="146"/>
      <c r="Q226" s="143"/>
      <c r="R226" s="146"/>
      <c r="S226" s="143"/>
      <c r="T226" s="147"/>
      <c r="U226" s="142"/>
      <c r="V226" s="146"/>
      <c r="W226" s="143"/>
      <c r="X226" s="146"/>
      <c r="Y226" s="143"/>
      <c r="Z226" s="146"/>
      <c r="AA226" s="143"/>
      <c r="AB226" s="147"/>
      <c r="AC226" s="142"/>
      <c r="AD226" s="148"/>
    </row>
    <row r="227" spans="1:30" ht="12.75">
      <c r="A227" s="73"/>
      <c r="B227" s="161"/>
      <c r="C227" s="84"/>
      <c r="D227" s="146"/>
      <c r="E227" s="143"/>
      <c r="F227" s="146"/>
      <c r="G227" s="143"/>
      <c r="H227" s="146"/>
      <c r="I227" s="143"/>
      <c r="J227" s="146"/>
      <c r="K227" s="143"/>
      <c r="L227" s="147"/>
      <c r="M227" s="142"/>
      <c r="N227" s="146"/>
      <c r="O227" s="143"/>
      <c r="P227" s="146"/>
      <c r="Q227" s="143"/>
      <c r="R227" s="146"/>
      <c r="S227" s="143"/>
      <c r="T227" s="147"/>
      <c r="U227" s="142"/>
      <c r="V227" s="146"/>
      <c r="W227" s="143"/>
      <c r="X227" s="146"/>
      <c r="Y227" s="143"/>
      <c r="Z227" s="146"/>
      <c r="AA227" s="143"/>
      <c r="AB227" s="147"/>
      <c r="AC227" s="142"/>
      <c r="AD227" s="148"/>
    </row>
    <row r="228" spans="1:30" ht="12.75">
      <c r="A228" s="73"/>
      <c r="B228" s="161"/>
      <c r="C228" s="84"/>
      <c r="D228" s="146"/>
      <c r="E228" s="143"/>
      <c r="F228" s="146"/>
      <c r="G228" s="143"/>
      <c r="H228" s="146"/>
      <c r="I228" s="143"/>
      <c r="J228" s="146"/>
      <c r="K228" s="143"/>
      <c r="L228" s="147"/>
      <c r="M228" s="142"/>
      <c r="N228" s="146"/>
      <c r="O228" s="143"/>
      <c r="P228" s="146"/>
      <c r="Q228" s="143"/>
      <c r="R228" s="146"/>
      <c r="S228" s="143"/>
      <c r="T228" s="147"/>
      <c r="U228" s="142"/>
      <c r="V228" s="146"/>
      <c r="W228" s="143"/>
      <c r="X228" s="146"/>
      <c r="Y228" s="143"/>
      <c r="Z228" s="146"/>
      <c r="AA228" s="143"/>
      <c r="AB228" s="147"/>
      <c r="AC228" s="142"/>
      <c r="AD228" s="148"/>
    </row>
    <row r="229" spans="1:30" ht="12.75">
      <c r="A229" s="73"/>
      <c r="B229" s="161"/>
      <c r="C229" s="84"/>
      <c r="D229" s="146"/>
      <c r="E229" s="143"/>
      <c r="F229" s="146"/>
      <c r="G229" s="143"/>
      <c r="H229" s="146"/>
      <c r="I229" s="143"/>
      <c r="J229" s="146"/>
      <c r="K229" s="143"/>
      <c r="L229" s="147"/>
      <c r="M229" s="142"/>
      <c r="N229" s="146"/>
      <c r="O229" s="143"/>
      <c r="P229" s="146"/>
      <c r="Q229" s="143"/>
      <c r="R229" s="146"/>
      <c r="S229" s="143"/>
      <c r="T229" s="147"/>
      <c r="U229" s="142"/>
      <c r="V229" s="146"/>
      <c r="W229" s="143"/>
      <c r="X229" s="146"/>
      <c r="Y229" s="143"/>
      <c r="Z229" s="146"/>
      <c r="AA229" s="143"/>
      <c r="AB229" s="147"/>
      <c r="AC229" s="142"/>
      <c r="AD229" s="148"/>
    </row>
    <row r="230" spans="1:30" ht="12.75">
      <c r="A230" s="73"/>
      <c r="B230" s="161"/>
      <c r="C230" s="84"/>
      <c r="D230" s="146"/>
      <c r="E230" s="143"/>
      <c r="F230" s="146"/>
      <c r="G230" s="143"/>
      <c r="H230" s="146"/>
      <c r="I230" s="143"/>
      <c r="J230" s="146"/>
      <c r="K230" s="143"/>
      <c r="L230" s="147"/>
      <c r="M230" s="142"/>
      <c r="N230" s="146"/>
      <c r="O230" s="143"/>
      <c r="P230" s="146"/>
      <c r="Q230" s="143"/>
      <c r="R230" s="146"/>
      <c r="S230" s="143"/>
      <c r="T230" s="147"/>
      <c r="U230" s="142"/>
      <c r="V230" s="146"/>
      <c r="W230" s="143"/>
      <c r="X230" s="146"/>
      <c r="Y230" s="143"/>
      <c r="Z230" s="146"/>
      <c r="AA230" s="143"/>
      <c r="AB230" s="147"/>
      <c r="AC230" s="142"/>
      <c r="AD230" s="148"/>
    </row>
    <row r="231" spans="1:30" ht="12.75">
      <c r="A231" s="73"/>
      <c r="B231" s="161"/>
      <c r="C231" s="84"/>
      <c r="D231" s="146"/>
      <c r="E231" s="143"/>
      <c r="F231" s="146"/>
      <c r="G231" s="143"/>
      <c r="H231" s="146"/>
      <c r="I231" s="143"/>
      <c r="J231" s="146"/>
      <c r="K231" s="143"/>
      <c r="L231" s="147"/>
      <c r="M231" s="142"/>
      <c r="N231" s="146"/>
      <c r="O231" s="143"/>
      <c r="P231" s="146"/>
      <c r="Q231" s="143"/>
      <c r="R231" s="146"/>
      <c r="S231" s="143"/>
      <c r="T231" s="147"/>
      <c r="U231" s="142"/>
      <c r="V231" s="146"/>
      <c r="W231" s="143"/>
      <c r="X231" s="146"/>
      <c r="Y231" s="143"/>
      <c r="Z231" s="146"/>
      <c r="AA231" s="143"/>
      <c r="AB231" s="147"/>
      <c r="AC231" s="142"/>
      <c r="AD231" s="148"/>
    </row>
    <row r="232" spans="1:30" ht="12.75">
      <c r="A232" s="73"/>
      <c r="B232" s="161"/>
      <c r="C232" s="84"/>
      <c r="D232" s="146"/>
      <c r="E232" s="143"/>
      <c r="F232" s="146"/>
      <c r="G232" s="143"/>
      <c r="H232" s="146"/>
      <c r="I232" s="143"/>
      <c r="J232" s="146"/>
      <c r="K232" s="143"/>
      <c r="L232" s="147"/>
      <c r="M232" s="142"/>
      <c r="N232" s="146"/>
      <c r="O232" s="143"/>
      <c r="P232" s="146"/>
      <c r="Q232" s="143"/>
      <c r="R232" s="146"/>
      <c r="S232" s="143"/>
      <c r="T232" s="147"/>
      <c r="U232" s="142"/>
      <c r="V232" s="146"/>
      <c r="W232" s="143"/>
      <c r="X232" s="146"/>
      <c r="Y232" s="143"/>
      <c r="Z232" s="146"/>
      <c r="AA232" s="143"/>
      <c r="AB232" s="147"/>
      <c r="AC232" s="142"/>
      <c r="AD232" s="148"/>
    </row>
    <row r="233" spans="1:30" ht="12.75">
      <c r="A233" s="73"/>
      <c r="B233" s="161"/>
      <c r="C233" s="84"/>
      <c r="D233" s="146"/>
      <c r="E233" s="143"/>
      <c r="F233" s="146"/>
      <c r="G233" s="143"/>
      <c r="H233" s="146"/>
      <c r="I233" s="143"/>
      <c r="J233" s="146"/>
      <c r="K233" s="143"/>
      <c r="L233" s="147"/>
      <c r="M233" s="142"/>
      <c r="N233" s="146"/>
      <c r="O233" s="143"/>
      <c r="P233" s="146"/>
      <c r="Q233" s="143"/>
      <c r="R233" s="146"/>
      <c r="S233" s="143"/>
      <c r="T233" s="147"/>
      <c r="U233" s="142"/>
      <c r="V233" s="146"/>
      <c r="W233" s="143"/>
      <c r="X233" s="146"/>
      <c r="Y233" s="143"/>
      <c r="Z233" s="146"/>
      <c r="AA233" s="143"/>
      <c r="AB233" s="147"/>
      <c r="AC233" s="142"/>
      <c r="AD233" s="148"/>
    </row>
  </sheetData>
  <sheetProtection sheet="1" objects="1" scenarios="1"/>
  <printOptions/>
  <pageMargins left="0.7480314960629921" right="0.7480314960629921" top="0.984251968503937" bottom="0.984251968503937" header="0.5118110236220472" footer="0.5118110236220472"/>
  <pageSetup horizontalDpi="300" verticalDpi="300" orientation="landscape" paperSize="9" scale="75" r:id="rId1"/>
  <headerFooter alignWithMargins="0">
    <oddHeader>&amp;C&amp;A</oddHeader>
    <oddFooter>&amp;L&amp;F&amp;CPagina &amp;P van &amp;N&amp;R&amp;D; &amp;T</oddFooter>
  </headerFooter>
</worksheet>
</file>

<file path=xl/worksheets/sheet3.xml><?xml version="1.0" encoding="utf-8"?>
<worksheet xmlns="http://schemas.openxmlformats.org/spreadsheetml/2006/main" xmlns:r="http://schemas.openxmlformats.org/officeDocument/2006/relationships">
  <sheetPr codeName="Sheet3"/>
  <dimension ref="A1:N149"/>
  <sheetViews>
    <sheetView showGridLines="0" zoomScale="75" zoomScaleNormal="75" workbookViewId="0" topLeftCell="A1">
      <selection activeCell="G32" sqref="G32"/>
    </sheetView>
  </sheetViews>
  <sheetFormatPr defaultColWidth="9.140625" defaultRowHeight="12.75"/>
  <cols>
    <col min="1" max="1" width="6.28125" style="40" customWidth="1"/>
    <col min="2" max="2" width="6.28125" style="87" customWidth="1"/>
    <col min="3" max="3" width="63.7109375" style="41" customWidth="1"/>
    <col min="4" max="4" width="6.7109375" style="40" customWidth="1"/>
    <col min="5" max="5" width="6.7109375" style="40" hidden="1" customWidth="1"/>
    <col min="6" max="6" width="7.57421875" style="40" hidden="1" customWidth="1"/>
    <col min="7" max="7" width="7.57421875" style="40" customWidth="1"/>
    <col min="8" max="8" width="7.57421875" style="199" hidden="1" customWidth="1"/>
    <col min="9" max="9" width="5.421875" style="40" customWidth="1"/>
    <col min="10" max="10" width="5.28125" style="40" customWidth="1"/>
    <col min="11" max="12" width="6.28125" style="40" customWidth="1"/>
    <col min="13" max="16384" width="9.140625" style="40" customWidth="1"/>
  </cols>
  <sheetData>
    <row r="1" ht="15.75">
      <c r="A1" s="42" t="s">
        <v>180</v>
      </c>
    </row>
    <row r="2" spans="2:4" ht="12.75">
      <c r="B2" s="566" t="s">
        <v>181</v>
      </c>
      <c r="C2" s="567"/>
      <c r="D2" s="107">
        <v>1025</v>
      </c>
    </row>
    <row r="3" spans="2:4" ht="12.75">
      <c r="B3" s="568" t="s">
        <v>182</v>
      </c>
      <c r="C3" s="569"/>
      <c r="D3" s="180">
        <v>1</v>
      </c>
    </row>
    <row r="4" spans="2:9" ht="12.75">
      <c r="B4" s="568" t="s">
        <v>505</v>
      </c>
      <c r="C4" s="569"/>
      <c r="D4" s="108" t="s">
        <v>2</v>
      </c>
      <c r="I4" s="301"/>
    </row>
    <row r="5" spans="2:4" ht="12.75">
      <c r="B5" s="568" t="s">
        <v>183</v>
      </c>
      <c r="C5" s="569"/>
      <c r="D5" s="208">
        <v>0.03</v>
      </c>
    </row>
    <row r="6" spans="2:4" ht="12.75">
      <c r="B6" s="570" t="s">
        <v>184</v>
      </c>
      <c r="C6" s="571"/>
      <c r="D6" s="209" t="s">
        <v>185</v>
      </c>
    </row>
    <row r="7" ht="12.75">
      <c r="B7" s="85" t="s">
        <v>186</v>
      </c>
    </row>
    <row r="8" ht="12.75">
      <c r="B8" s="85" t="s">
        <v>405</v>
      </c>
    </row>
    <row r="9" spans="13:14" ht="13.5" thickBot="1">
      <c r="M9" s="183"/>
      <c r="N9" s="183"/>
    </row>
    <row r="10" spans="1:14" ht="42" customHeight="1" thickBot="1">
      <c r="A10" s="42" t="s">
        <v>187</v>
      </c>
      <c r="B10" s="88"/>
      <c r="C10" s="43"/>
      <c r="D10" s="224"/>
      <c r="E10" s="44"/>
      <c r="F10" s="44"/>
      <c r="G10" s="224"/>
      <c r="H10" s="200" t="s">
        <v>188</v>
      </c>
      <c r="I10" s="230" t="s">
        <v>189</v>
      </c>
      <c r="J10" s="231"/>
      <c r="K10" s="231"/>
      <c r="L10" s="232"/>
      <c r="M10" s="233" t="s">
        <v>190</v>
      </c>
      <c r="N10" s="234"/>
    </row>
    <row r="11" spans="2:14" ht="3" customHeight="1">
      <c r="B11" s="466"/>
      <c r="C11" s="467"/>
      <c r="D11" s="225"/>
      <c r="E11" s="45"/>
      <c r="F11" s="46"/>
      <c r="G11" s="225"/>
      <c r="H11" s="463"/>
      <c r="I11" s="47"/>
      <c r="J11" s="47"/>
      <c r="K11" s="47" t="s">
        <v>1</v>
      </c>
      <c r="L11" s="165"/>
      <c r="M11" s="184"/>
      <c r="N11" s="185"/>
    </row>
    <row r="12" spans="2:14" ht="84" customHeight="1" thickBot="1">
      <c r="B12" s="464" t="s">
        <v>191</v>
      </c>
      <c r="C12" s="465" t="s">
        <v>192</v>
      </c>
      <c r="D12" s="226" t="s">
        <v>193</v>
      </c>
      <c r="E12" s="48" t="s">
        <v>194</v>
      </c>
      <c r="F12" s="49" t="s">
        <v>195</v>
      </c>
      <c r="G12" s="226" t="s">
        <v>431</v>
      </c>
      <c r="H12" s="201"/>
      <c r="I12" s="48" t="s">
        <v>196</v>
      </c>
      <c r="J12" s="48" t="s">
        <v>197</v>
      </c>
      <c r="K12" s="48" t="s">
        <v>198</v>
      </c>
      <c r="L12" s="49" t="s">
        <v>199</v>
      </c>
      <c r="M12" s="186" t="s">
        <v>200</v>
      </c>
      <c r="N12" s="49" t="s">
        <v>81</v>
      </c>
    </row>
    <row r="13" spans="2:14" ht="15" customHeight="1" thickTop="1">
      <c r="B13" s="89">
        <v>1</v>
      </c>
      <c r="C13" s="50" t="s">
        <v>201</v>
      </c>
      <c r="D13" s="227"/>
      <c r="E13" s="51"/>
      <c r="F13" s="52"/>
      <c r="G13" s="52"/>
      <c r="H13" s="202">
        <v>1</v>
      </c>
      <c r="I13" s="53"/>
      <c r="J13" s="53"/>
      <c r="K13" s="53" t="s">
        <v>202</v>
      </c>
      <c r="L13" s="166"/>
      <c r="M13" s="187" t="s">
        <v>203</v>
      </c>
      <c r="N13" s="188" t="s">
        <v>203</v>
      </c>
    </row>
    <row r="14" spans="2:14" ht="15" customHeight="1">
      <c r="B14" s="89">
        <v>2</v>
      </c>
      <c r="C14" s="50" t="s">
        <v>204</v>
      </c>
      <c r="D14" s="227"/>
      <c r="E14" s="51"/>
      <c r="F14" s="52"/>
      <c r="G14" s="52"/>
      <c r="H14" s="202">
        <v>1</v>
      </c>
      <c r="I14" s="53"/>
      <c r="J14" s="53"/>
      <c r="K14" s="53" t="s">
        <v>202</v>
      </c>
      <c r="L14" s="166"/>
      <c r="M14" s="187" t="s">
        <v>203</v>
      </c>
      <c r="N14" s="188" t="s">
        <v>203</v>
      </c>
    </row>
    <row r="15" spans="2:14" ht="15" customHeight="1">
      <c r="B15" s="89">
        <v>3</v>
      </c>
      <c r="C15" s="50" t="s">
        <v>205</v>
      </c>
      <c r="D15" s="227"/>
      <c r="E15" s="51"/>
      <c r="F15" s="52"/>
      <c r="G15" s="52"/>
      <c r="H15" s="202">
        <v>1</v>
      </c>
      <c r="I15" s="53"/>
      <c r="J15" s="53"/>
      <c r="K15" s="53" t="s">
        <v>202</v>
      </c>
      <c r="L15" s="166"/>
      <c r="M15" s="187" t="s">
        <v>203</v>
      </c>
      <c r="N15" s="188" t="s">
        <v>203</v>
      </c>
    </row>
    <row r="16" spans="2:14" ht="15" customHeight="1">
      <c r="B16" s="89">
        <v>4</v>
      </c>
      <c r="C16" s="50" t="s">
        <v>206</v>
      </c>
      <c r="D16" s="227"/>
      <c r="E16" s="51"/>
      <c r="F16" s="52"/>
      <c r="G16" s="52"/>
      <c r="H16" s="202">
        <v>1</v>
      </c>
      <c r="I16" s="53"/>
      <c r="J16" s="53"/>
      <c r="K16" s="53" t="s">
        <v>202</v>
      </c>
      <c r="L16" s="166"/>
      <c r="M16" s="187" t="s">
        <v>203</v>
      </c>
      <c r="N16" s="188" t="s">
        <v>203</v>
      </c>
    </row>
    <row r="17" spans="2:14" ht="15" customHeight="1">
      <c r="B17" s="89">
        <v>5</v>
      </c>
      <c r="C17" s="50" t="s">
        <v>207</v>
      </c>
      <c r="D17" s="227"/>
      <c r="E17" s="51"/>
      <c r="F17" s="52"/>
      <c r="G17" s="52"/>
      <c r="H17" s="202">
        <v>1</v>
      </c>
      <c r="I17" s="53"/>
      <c r="J17" s="53"/>
      <c r="K17" s="53" t="s">
        <v>202</v>
      </c>
      <c r="L17" s="166"/>
      <c r="M17" s="187" t="s">
        <v>203</v>
      </c>
      <c r="N17" s="188" t="s">
        <v>203</v>
      </c>
    </row>
    <row r="18" spans="2:14" ht="15" customHeight="1">
      <c r="B18" s="89">
        <v>6</v>
      </c>
      <c r="C18" s="50" t="s">
        <v>208</v>
      </c>
      <c r="D18" s="227"/>
      <c r="E18" s="51"/>
      <c r="F18" s="52"/>
      <c r="G18" s="52"/>
      <c r="H18" s="202">
        <v>1</v>
      </c>
      <c r="I18" s="53"/>
      <c r="J18" s="53"/>
      <c r="K18" s="53" t="s">
        <v>202</v>
      </c>
      <c r="L18" s="166"/>
      <c r="M18" s="187" t="s">
        <v>203</v>
      </c>
      <c r="N18" s="188" t="s">
        <v>203</v>
      </c>
    </row>
    <row r="19" spans="2:14" ht="15" customHeight="1">
      <c r="B19" s="89">
        <v>7</v>
      </c>
      <c r="C19" s="50" t="s">
        <v>209</v>
      </c>
      <c r="D19" s="227"/>
      <c r="E19" s="51"/>
      <c r="F19" s="52"/>
      <c r="G19" s="52"/>
      <c r="H19" s="202">
        <v>1</v>
      </c>
      <c r="I19" s="53"/>
      <c r="J19" s="53"/>
      <c r="K19" s="53" t="s">
        <v>202</v>
      </c>
      <c r="L19" s="166"/>
      <c r="M19" s="187" t="s">
        <v>203</v>
      </c>
      <c r="N19" s="188" t="s">
        <v>203</v>
      </c>
    </row>
    <row r="20" spans="2:14" ht="15" customHeight="1">
      <c r="B20" s="89">
        <v>8</v>
      </c>
      <c r="C20" s="50" t="s">
        <v>210</v>
      </c>
      <c r="D20" s="227"/>
      <c r="E20" s="51"/>
      <c r="F20" s="52"/>
      <c r="G20" s="52"/>
      <c r="H20" s="202">
        <v>1</v>
      </c>
      <c r="I20" s="53"/>
      <c r="J20" s="53"/>
      <c r="K20" s="53" t="s">
        <v>202</v>
      </c>
      <c r="L20" s="166"/>
      <c r="M20" s="187" t="s">
        <v>203</v>
      </c>
      <c r="N20" s="188" t="s">
        <v>203</v>
      </c>
    </row>
    <row r="21" spans="2:14" ht="15" customHeight="1">
      <c r="B21" s="89">
        <v>9</v>
      </c>
      <c r="C21" s="50" t="s">
        <v>211</v>
      </c>
      <c r="D21" s="227"/>
      <c r="E21" s="51"/>
      <c r="F21" s="52"/>
      <c r="G21" s="52"/>
      <c r="H21" s="202">
        <v>1</v>
      </c>
      <c r="I21" s="53"/>
      <c r="J21" s="53"/>
      <c r="K21" s="53"/>
      <c r="L21" s="166"/>
      <c r="M21" s="187" t="s">
        <v>203</v>
      </c>
      <c r="N21" s="188" t="s">
        <v>203</v>
      </c>
    </row>
    <row r="22" spans="2:14" ht="15" customHeight="1">
      <c r="B22" s="90">
        <v>10</v>
      </c>
      <c r="C22" s="54" t="s">
        <v>212</v>
      </c>
      <c r="D22" s="227">
        <v>2300</v>
      </c>
      <c r="E22" s="51">
        <v>2200</v>
      </c>
      <c r="F22" s="52">
        <v>2900</v>
      </c>
      <c r="G22" s="304" t="s">
        <v>428</v>
      </c>
      <c r="H22" s="202">
        <v>1</v>
      </c>
      <c r="I22" s="53"/>
      <c r="J22" s="53" t="s">
        <v>202</v>
      </c>
      <c r="K22" s="53"/>
      <c r="L22" s="166"/>
      <c r="M22" s="187" t="s">
        <v>213</v>
      </c>
      <c r="N22" s="188" t="s">
        <v>213</v>
      </c>
    </row>
    <row r="23" spans="2:14" ht="15" customHeight="1">
      <c r="B23" s="90">
        <v>11</v>
      </c>
      <c r="C23" s="54" t="s">
        <v>214</v>
      </c>
      <c r="D23" s="227">
        <v>2300</v>
      </c>
      <c r="E23" s="51">
        <v>2200</v>
      </c>
      <c r="F23" s="52">
        <v>2900</v>
      </c>
      <c r="G23" s="304" t="s">
        <v>428</v>
      </c>
      <c r="H23" s="202">
        <v>1</v>
      </c>
      <c r="I23" s="53"/>
      <c r="J23" s="53" t="s">
        <v>202</v>
      </c>
      <c r="K23" s="53"/>
      <c r="L23" s="166"/>
      <c r="M23" s="187" t="s">
        <v>213</v>
      </c>
      <c r="N23" s="188" t="s">
        <v>213</v>
      </c>
    </row>
    <row r="24" spans="2:14" ht="15" customHeight="1">
      <c r="B24" s="91">
        <v>11.1</v>
      </c>
      <c r="C24" s="50" t="s">
        <v>524</v>
      </c>
      <c r="D24" s="227">
        <v>2200</v>
      </c>
      <c r="E24" s="51">
        <v>2200</v>
      </c>
      <c r="F24" s="52">
        <v>2900</v>
      </c>
      <c r="G24" s="304" t="s">
        <v>428</v>
      </c>
      <c r="H24" s="202">
        <v>1</v>
      </c>
      <c r="I24" s="53"/>
      <c r="J24" s="53" t="s">
        <v>202</v>
      </c>
      <c r="K24" s="53"/>
      <c r="L24" s="166"/>
      <c r="M24" s="187" t="s">
        <v>213</v>
      </c>
      <c r="N24" s="188" t="s">
        <v>213</v>
      </c>
    </row>
    <row r="25" spans="2:14" ht="15" customHeight="1">
      <c r="B25" s="91">
        <v>11.2</v>
      </c>
      <c r="C25" s="50" t="s">
        <v>215</v>
      </c>
      <c r="D25" s="227">
        <v>2300</v>
      </c>
      <c r="E25" s="51">
        <v>2200</v>
      </c>
      <c r="F25" s="52">
        <v>2900</v>
      </c>
      <c r="G25" s="304" t="s">
        <v>428</v>
      </c>
      <c r="H25" s="202">
        <v>1</v>
      </c>
      <c r="I25" s="53"/>
      <c r="J25" s="53" t="s">
        <v>202</v>
      </c>
      <c r="K25" s="53"/>
      <c r="L25" s="166"/>
      <c r="M25" s="187" t="s">
        <v>213</v>
      </c>
      <c r="N25" s="188" t="s">
        <v>213</v>
      </c>
    </row>
    <row r="26" spans="2:14" ht="15" customHeight="1">
      <c r="B26" s="91">
        <v>11.3</v>
      </c>
      <c r="C26" s="303" t="s">
        <v>425</v>
      </c>
      <c r="D26" s="227">
        <v>2300</v>
      </c>
      <c r="E26" s="51">
        <v>2200</v>
      </c>
      <c r="F26" s="52">
        <v>2900</v>
      </c>
      <c r="G26" s="304" t="s">
        <v>428</v>
      </c>
      <c r="H26" s="202">
        <v>1</v>
      </c>
      <c r="I26" s="53"/>
      <c r="J26" s="53" t="s">
        <v>202</v>
      </c>
      <c r="K26" s="53"/>
      <c r="L26" s="166"/>
      <c r="M26" s="187" t="s">
        <v>213</v>
      </c>
      <c r="N26" s="188" t="s">
        <v>213</v>
      </c>
    </row>
    <row r="27" spans="2:14" ht="15" customHeight="1">
      <c r="B27" s="91">
        <v>11.4</v>
      </c>
      <c r="C27" s="303" t="s">
        <v>426</v>
      </c>
      <c r="D27" s="227">
        <v>2300</v>
      </c>
      <c r="E27" s="51">
        <v>2200</v>
      </c>
      <c r="F27" s="52">
        <v>2900</v>
      </c>
      <c r="G27" s="304" t="s">
        <v>428</v>
      </c>
      <c r="H27" s="202">
        <v>1</v>
      </c>
      <c r="I27" s="53"/>
      <c r="J27" s="53" t="s">
        <v>202</v>
      </c>
      <c r="K27" s="53"/>
      <c r="L27" s="166"/>
      <c r="M27" s="187" t="s">
        <v>213</v>
      </c>
      <c r="N27" s="188" t="s">
        <v>213</v>
      </c>
    </row>
    <row r="28" spans="2:14" ht="15" customHeight="1">
      <c r="B28" s="91">
        <v>11.5</v>
      </c>
      <c r="C28" s="303" t="s">
        <v>427</v>
      </c>
      <c r="D28" s="227">
        <v>2300</v>
      </c>
      <c r="E28" s="51">
        <v>2200</v>
      </c>
      <c r="F28" s="52">
        <v>2900</v>
      </c>
      <c r="G28" s="304" t="s">
        <v>428</v>
      </c>
      <c r="H28" s="202">
        <v>1</v>
      </c>
      <c r="I28" s="53"/>
      <c r="J28" s="53" t="s">
        <v>202</v>
      </c>
      <c r="K28" s="53"/>
      <c r="L28" s="166"/>
      <c r="M28" s="187" t="s">
        <v>213</v>
      </c>
      <c r="N28" s="188" t="s">
        <v>213</v>
      </c>
    </row>
    <row r="29" spans="2:14" ht="15" customHeight="1">
      <c r="B29" s="90">
        <v>12</v>
      </c>
      <c r="C29" s="54" t="s">
        <v>216</v>
      </c>
      <c r="D29" s="227">
        <v>2300</v>
      </c>
      <c r="E29" s="51">
        <v>2200</v>
      </c>
      <c r="F29" s="52">
        <v>2900</v>
      </c>
      <c r="G29" s="304" t="s">
        <v>428</v>
      </c>
      <c r="H29" s="202">
        <v>1.4</v>
      </c>
      <c r="I29" s="53"/>
      <c r="J29" s="53" t="s">
        <v>202</v>
      </c>
      <c r="K29" s="53"/>
      <c r="L29" s="166"/>
      <c r="M29" s="187" t="s">
        <v>213</v>
      </c>
      <c r="N29" s="188" t="s">
        <v>213</v>
      </c>
    </row>
    <row r="30" spans="2:14" ht="15" customHeight="1">
      <c r="B30" s="90">
        <v>13</v>
      </c>
      <c r="C30" s="54" t="s">
        <v>217</v>
      </c>
      <c r="D30" s="227">
        <v>2300</v>
      </c>
      <c r="E30" s="51">
        <v>2200</v>
      </c>
      <c r="F30" s="52">
        <v>2900</v>
      </c>
      <c r="G30" s="304" t="s">
        <v>428</v>
      </c>
      <c r="H30" s="202">
        <v>1</v>
      </c>
      <c r="I30" s="53"/>
      <c r="J30" s="53" t="s">
        <v>202</v>
      </c>
      <c r="K30" s="53"/>
      <c r="L30" s="166"/>
      <c r="M30" s="187" t="s">
        <v>213</v>
      </c>
      <c r="N30" s="188" t="s">
        <v>213</v>
      </c>
    </row>
    <row r="31" spans="2:14" ht="15" customHeight="1">
      <c r="B31" s="89">
        <v>14</v>
      </c>
      <c r="C31" s="50" t="s">
        <v>218</v>
      </c>
      <c r="D31" s="227"/>
      <c r="E31" s="51"/>
      <c r="F31" s="52"/>
      <c r="G31" s="52"/>
      <c r="H31" s="202">
        <v>1</v>
      </c>
      <c r="I31" s="53"/>
      <c r="J31" s="53"/>
      <c r="K31" s="53"/>
      <c r="L31" s="166" t="s">
        <v>202</v>
      </c>
      <c r="M31" s="187" t="s">
        <v>203</v>
      </c>
      <c r="N31" s="188" t="s">
        <v>203</v>
      </c>
    </row>
    <row r="32" spans="2:14" ht="15" customHeight="1">
      <c r="B32" s="89">
        <v>15</v>
      </c>
      <c r="C32" s="50" t="s">
        <v>219</v>
      </c>
      <c r="D32" s="227"/>
      <c r="E32" s="51"/>
      <c r="F32" s="52"/>
      <c r="G32" s="52"/>
      <c r="H32" s="202">
        <v>1</v>
      </c>
      <c r="I32" s="53"/>
      <c r="J32" s="53"/>
      <c r="K32" s="53"/>
      <c r="L32" s="166" t="s">
        <v>202</v>
      </c>
      <c r="M32" s="187" t="s">
        <v>203</v>
      </c>
      <c r="N32" s="188" t="s">
        <v>203</v>
      </c>
    </row>
    <row r="33" spans="2:14" ht="15" customHeight="1">
      <c r="B33" s="89">
        <v>16</v>
      </c>
      <c r="C33" s="50" t="s">
        <v>220</v>
      </c>
      <c r="D33" s="227"/>
      <c r="E33" s="51"/>
      <c r="F33" s="52"/>
      <c r="G33" s="52"/>
      <c r="H33" s="202">
        <v>1</v>
      </c>
      <c r="I33" s="53"/>
      <c r="J33" s="53"/>
      <c r="K33" s="53"/>
      <c r="L33" s="166" t="s">
        <v>202</v>
      </c>
      <c r="M33" s="187" t="s">
        <v>203</v>
      </c>
      <c r="N33" s="188" t="s">
        <v>203</v>
      </c>
    </row>
    <row r="34" spans="2:14" ht="15" customHeight="1">
      <c r="B34" s="90">
        <v>17</v>
      </c>
      <c r="C34" s="54" t="s">
        <v>221</v>
      </c>
      <c r="D34" s="227">
        <v>2300</v>
      </c>
      <c r="E34" s="51"/>
      <c r="F34" s="52"/>
      <c r="G34" s="304" t="s">
        <v>481</v>
      </c>
      <c r="H34" s="202">
        <v>1.4</v>
      </c>
      <c r="I34" s="53"/>
      <c r="J34" s="53" t="s">
        <v>202</v>
      </c>
      <c r="K34" s="53"/>
      <c r="L34" s="166"/>
      <c r="M34" s="187" t="s">
        <v>203</v>
      </c>
      <c r="N34" s="188" t="s">
        <v>213</v>
      </c>
    </row>
    <row r="35" spans="2:14" ht="15" customHeight="1">
      <c r="B35" s="89">
        <v>18</v>
      </c>
      <c r="C35" s="50" t="s">
        <v>222</v>
      </c>
      <c r="D35" s="227"/>
      <c r="E35" s="51"/>
      <c r="F35" s="52"/>
      <c r="G35" s="52"/>
      <c r="H35" s="202">
        <v>1</v>
      </c>
      <c r="I35" s="53"/>
      <c r="J35" s="53"/>
      <c r="K35" s="53"/>
      <c r="L35" s="166" t="s">
        <v>202</v>
      </c>
      <c r="M35" s="187" t="s">
        <v>203</v>
      </c>
      <c r="N35" s="188" t="s">
        <v>203</v>
      </c>
    </row>
    <row r="36" spans="2:14" ht="15" customHeight="1">
      <c r="B36" s="89">
        <v>19</v>
      </c>
      <c r="C36" s="50" t="s">
        <v>223</v>
      </c>
      <c r="D36" s="227"/>
      <c r="E36" s="51"/>
      <c r="F36" s="52"/>
      <c r="G36" s="52"/>
      <c r="H36" s="202">
        <v>1</v>
      </c>
      <c r="I36" s="53"/>
      <c r="J36" s="53"/>
      <c r="K36" s="53"/>
      <c r="L36" s="166"/>
      <c r="M36" s="187" t="s">
        <v>203</v>
      </c>
      <c r="N36" s="188" t="s">
        <v>203</v>
      </c>
    </row>
    <row r="37" spans="2:14" ht="15" customHeight="1">
      <c r="B37" s="89">
        <v>20</v>
      </c>
      <c r="C37" s="50" t="s">
        <v>224</v>
      </c>
      <c r="D37" s="227"/>
      <c r="E37" s="51"/>
      <c r="F37" s="52"/>
      <c r="G37" s="52"/>
      <c r="H37" s="202">
        <v>1</v>
      </c>
      <c r="I37" s="53"/>
      <c r="J37" s="53"/>
      <c r="K37" s="53"/>
      <c r="L37" s="166"/>
      <c r="M37" s="187" t="s">
        <v>203</v>
      </c>
      <c r="N37" s="188" t="s">
        <v>203</v>
      </c>
    </row>
    <row r="38" spans="2:14" ht="15" customHeight="1">
      <c r="B38" s="89">
        <v>21</v>
      </c>
      <c r="C38" s="50" t="s">
        <v>225</v>
      </c>
      <c r="D38" s="227"/>
      <c r="E38" s="51"/>
      <c r="F38" s="52"/>
      <c r="G38" s="52"/>
      <c r="H38" s="202">
        <v>1</v>
      </c>
      <c r="I38" s="53"/>
      <c r="J38" s="53"/>
      <c r="K38" s="53"/>
      <c r="L38" s="166"/>
      <c r="M38" s="187" t="s">
        <v>203</v>
      </c>
      <c r="N38" s="188" t="s">
        <v>203</v>
      </c>
    </row>
    <row r="39" spans="2:14" ht="15" customHeight="1">
      <c r="B39" s="89">
        <v>22</v>
      </c>
      <c r="C39" s="50" t="s">
        <v>226</v>
      </c>
      <c r="D39" s="227"/>
      <c r="E39" s="51"/>
      <c r="F39" s="52"/>
      <c r="G39" s="52"/>
      <c r="H39" s="202">
        <v>1</v>
      </c>
      <c r="I39" s="53"/>
      <c r="J39" s="53"/>
      <c r="K39" s="53"/>
      <c r="L39" s="166"/>
      <c r="M39" s="187" t="s">
        <v>203</v>
      </c>
      <c r="N39" s="188" t="s">
        <v>203</v>
      </c>
    </row>
    <row r="40" spans="2:14" ht="15" customHeight="1">
      <c r="B40" s="89">
        <v>23</v>
      </c>
      <c r="C40" s="50" t="s">
        <v>227</v>
      </c>
      <c r="D40" s="227"/>
      <c r="E40" s="51"/>
      <c r="F40" s="52"/>
      <c r="G40" s="52"/>
      <c r="H40" s="202">
        <v>1</v>
      </c>
      <c r="I40" s="53"/>
      <c r="J40" s="53"/>
      <c r="K40" s="53"/>
      <c r="L40" s="166"/>
      <c r="M40" s="187" t="s">
        <v>203</v>
      </c>
      <c r="N40" s="188" t="s">
        <v>203</v>
      </c>
    </row>
    <row r="41" spans="2:14" ht="15" customHeight="1">
      <c r="B41" s="89">
        <v>24</v>
      </c>
      <c r="C41" s="50" t="s">
        <v>228</v>
      </c>
      <c r="D41" s="227"/>
      <c r="E41" s="51"/>
      <c r="F41" s="52"/>
      <c r="G41" s="52"/>
      <c r="H41" s="202">
        <v>1</v>
      </c>
      <c r="I41" s="53"/>
      <c r="J41" s="53"/>
      <c r="K41" s="53"/>
      <c r="L41" s="166"/>
      <c r="M41" s="187" t="s">
        <v>203</v>
      </c>
      <c r="N41" s="188" t="s">
        <v>203</v>
      </c>
    </row>
    <row r="42" spans="2:14" ht="15" customHeight="1">
      <c r="B42" s="89">
        <v>25</v>
      </c>
      <c r="C42" s="50" t="s">
        <v>229</v>
      </c>
      <c r="D42" s="227"/>
      <c r="E42" s="51"/>
      <c r="F42" s="52"/>
      <c r="G42" s="52"/>
      <c r="H42" s="202">
        <v>1</v>
      </c>
      <c r="I42" s="53"/>
      <c r="J42" s="53"/>
      <c r="K42" s="53"/>
      <c r="L42" s="166"/>
      <c r="M42" s="187" t="s">
        <v>203</v>
      </c>
      <c r="N42" s="188" t="s">
        <v>203</v>
      </c>
    </row>
    <row r="43" spans="2:14" ht="15" customHeight="1">
      <c r="B43" s="90">
        <v>26</v>
      </c>
      <c r="C43" s="54" t="s">
        <v>230</v>
      </c>
      <c r="D43" s="227">
        <v>2900</v>
      </c>
      <c r="E43" s="51">
        <v>2900</v>
      </c>
      <c r="F43" s="52">
        <v>3000</v>
      </c>
      <c r="G43" s="305">
        <v>70</v>
      </c>
      <c r="H43" s="202">
        <v>1.8</v>
      </c>
      <c r="I43" s="53" t="s">
        <v>202</v>
      </c>
      <c r="J43" s="53"/>
      <c r="K43" s="53"/>
      <c r="L43" s="166"/>
      <c r="M43" s="187" t="s">
        <v>213</v>
      </c>
      <c r="N43" s="188" t="s">
        <v>213</v>
      </c>
    </row>
    <row r="44" spans="2:14" ht="15" customHeight="1">
      <c r="B44" s="91">
        <v>26.01</v>
      </c>
      <c r="C44" s="50" t="s">
        <v>231</v>
      </c>
      <c r="D44" s="227">
        <v>2900</v>
      </c>
      <c r="E44" s="51">
        <v>2900</v>
      </c>
      <c r="F44" s="52">
        <v>3000</v>
      </c>
      <c r="G44" s="304" t="s">
        <v>481</v>
      </c>
      <c r="H44" s="202">
        <v>1.8</v>
      </c>
      <c r="I44" s="53" t="s">
        <v>202</v>
      </c>
      <c r="J44" s="53"/>
      <c r="K44" s="53"/>
      <c r="L44" s="166"/>
      <c r="M44" s="187" t="s">
        <v>203</v>
      </c>
      <c r="N44" s="188" t="s">
        <v>213</v>
      </c>
    </row>
    <row r="45" spans="2:14" ht="15" customHeight="1">
      <c r="B45" s="91">
        <v>26.02</v>
      </c>
      <c r="C45" s="50" t="s">
        <v>232</v>
      </c>
      <c r="D45" s="227">
        <v>2900</v>
      </c>
      <c r="E45" s="51">
        <v>2900</v>
      </c>
      <c r="F45" s="52">
        <v>3000</v>
      </c>
      <c r="G45" s="304" t="s">
        <v>481</v>
      </c>
      <c r="H45" s="202">
        <v>1.8</v>
      </c>
      <c r="I45" s="53" t="s">
        <v>202</v>
      </c>
      <c r="J45" s="53"/>
      <c r="K45" s="53"/>
      <c r="L45" s="166"/>
      <c r="M45" s="187" t="s">
        <v>203</v>
      </c>
      <c r="N45" s="188" t="s">
        <v>213</v>
      </c>
    </row>
    <row r="46" spans="2:14" ht="15" customHeight="1">
      <c r="B46" s="90">
        <v>27</v>
      </c>
      <c r="C46" s="54" t="s">
        <v>233</v>
      </c>
      <c r="D46" s="227">
        <v>2300</v>
      </c>
      <c r="E46" s="51">
        <v>2200</v>
      </c>
      <c r="F46" s="52">
        <v>2900</v>
      </c>
      <c r="G46" s="305">
        <v>70</v>
      </c>
      <c r="H46" s="202">
        <v>2</v>
      </c>
      <c r="I46" s="53" t="s">
        <v>202</v>
      </c>
      <c r="J46" s="53"/>
      <c r="K46" s="53"/>
      <c r="L46" s="166"/>
      <c r="M46" s="187" t="s">
        <v>213</v>
      </c>
      <c r="N46" s="188" t="s">
        <v>213</v>
      </c>
    </row>
    <row r="47" spans="2:14" ht="15" customHeight="1">
      <c r="B47" s="91">
        <v>27.1</v>
      </c>
      <c r="C47" s="50" t="s">
        <v>234</v>
      </c>
      <c r="D47" s="227">
        <v>2300</v>
      </c>
      <c r="E47" s="51">
        <v>2200</v>
      </c>
      <c r="F47" s="52">
        <v>2900</v>
      </c>
      <c r="G47" s="305">
        <v>70</v>
      </c>
      <c r="H47" s="202">
        <v>2</v>
      </c>
      <c r="I47" s="53" t="s">
        <v>202</v>
      </c>
      <c r="J47" s="53"/>
      <c r="K47" s="53"/>
      <c r="L47" s="166"/>
      <c r="M47" s="187" t="s">
        <v>213</v>
      </c>
      <c r="N47" s="188" t="s">
        <v>213</v>
      </c>
    </row>
    <row r="48" spans="2:14" ht="15" customHeight="1">
      <c r="B48" s="91">
        <v>27.2</v>
      </c>
      <c r="C48" s="50" t="s">
        <v>235</v>
      </c>
      <c r="D48" s="227">
        <v>2300</v>
      </c>
      <c r="E48" s="51">
        <v>2200</v>
      </c>
      <c r="F48" s="52">
        <v>2900</v>
      </c>
      <c r="G48" s="305">
        <v>50</v>
      </c>
      <c r="H48" s="202">
        <v>2</v>
      </c>
      <c r="I48" s="53" t="s">
        <v>202</v>
      </c>
      <c r="J48" s="53"/>
      <c r="K48" s="53"/>
      <c r="L48" s="166"/>
      <c r="M48" s="187" t="s">
        <v>213</v>
      </c>
      <c r="N48" s="188" t="s">
        <v>213</v>
      </c>
    </row>
    <row r="49" spans="2:14" ht="15" customHeight="1">
      <c r="B49" s="91">
        <v>27.3</v>
      </c>
      <c r="C49" s="50" t="s">
        <v>236</v>
      </c>
      <c r="D49" s="227">
        <v>2300</v>
      </c>
      <c r="E49" s="51">
        <v>2200</v>
      </c>
      <c r="F49" s="52">
        <v>2900</v>
      </c>
      <c r="G49" s="305">
        <v>60</v>
      </c>
      <c r="H49" s="202">
        <v>2</v>
      </c>
      <c r="I49" s="53" t="s">
        <v>202</v>
      </c>
      <c r="J49" s="53"/>
      <c r="K49" s="53"/>
      <c r="L49" s="166"/>
      <c r="M49" s="187" t="s">
        <v>213</v>
      </c>
      <c r="N49" s="188" t="s">
        <v>213</v>
      </c>
    </row>
    <row r="50" spans="2:14" ht="15" customHeight="1">
      <c r="B50" s="91">
        <v>27.01</v>
      </c>
      <c r="C50" s="50" t="s">
        <v>237</v>
      </c>
      <c r="D50" s="227">
        <v>2300</v>
      </c>
      <c r="E50" s="51">
        <v>2200</v>
      </c>
      <c r="F50" s="52">
        <v>2900</v>
      </c>
      <c r="G50" s="304" t="s">
        <v>481</v>
      </c>
      <c r="H50" s="202">
        <v>2</v>
      </c>
      <c r="I50" s="53" t="s">
        <v>202</v>
      </c>
      <c r="J50" s="53"/>
      <c r="K50" s="53"/>
      <c r="L50" s="166"/>
      <c r="M50" s="187" t="s">
        <v>203</v>
      </c>
      <c r="N50" s="188" t="s">
        <v>213</v>
      </c>
    </row>
    <row r="51" spans="2:14" ht="15" customHeight="1">
      <c r="B51" s="91">
        <v>27.11</v>
      </c>
      <c r="C51" s="50" t="s">
        <v>238</v>
      </c>
      <c r="D51" s="227">
        <v>2300</v>
      </c>
      <c r="E51" s="51">
        <v>2200</v>
      </c>
      <c r="F51" s="52">
        <v>2900</v>
      </c>
      <c r="G51" s="304" t="s">
        <v>481</v>
      </c>
      <c r="H51" s="202">
        <v>2</v>
      </c>
      <c r="I51" s="53" t="s">
        <v>202</v>
      </c>
      <c r="J51" s="53"/>
      <c r="K51" s="53"/>
      <c r="L51" s="166"/>
      <c r="M51" s="187" t="s">
        <v>203</v>
      </c>
      <c r="N51" s="188" t="s">
        <v>213</v>
      </c>
    </row>
    <row r="52" spans="2:14" ht="15" customHeight="1">
      <c r="B52" s="91">
        <v>27.21</v>
      </c>
      <c r="C52" s="50" t="s">
        <v>239</v>
      </c>
      <c r="D52" s="227">
        <v>2300</v>
      </c>
      <c r="E52" s="51">
        <v>2200</v>
      </c>
      <c r="F52" s="52">
        <v>2900</v>
      </c>
      <c r="G52" s="304" t="s">
        <v>481</v>
      </c>
      <c r="H52" s="202">
        <v>2</v>
      </c>
      <c r="I52" s="53" t="s">
        <v>202</v>
      </c>
      <c r="J52" s="53"/>
      <c r="K52" s="53"/>
      <c r="L52" s="166"/>
      <c r="M52" s="187" t="s">
        <v>203</v>
      </c>
      <c r="N52" s="188" t="s">
        <v>213</v>
      </c>
    </row>
    <row r="53" spans="2:14" ht="15" customHeight="1">
      <c r="B53" s="91">
        <v>27.31</v>
      </c>
      <c r="C53" s="50" t="s">
        <v>240</v>
      </c>
      <c r="D53" s="227">
        <v>2300</v>
      </c>
      <c r="E53" s="51">
        <v>2200</v>
      </c>
      <c r="F53" s="52">
        <v>2900</v>
      </c>
      <c r="G53" s="304" t="s">
        <v>481</v>
      </c>
      <c r="H53" s="202">
        <v>2</v>
      </c>
      <c r="I53" s="53" t="s">
        <v>202</v>
      </c>
      <c r="J53" s="53"/>
      <c r="K53" s="53"/>
      <c r="L53" s="166"/>
      <c r="M53" s="187" t="s">
        <v>203</v>
      </c>
      <c r="N53" s="188" t="s">
        <v>213</v>
      </c>
    </row>
    <row r="54" spans="2:14" ht="15" customHeight="1">
      <c r="B54" s="91">
        <v>27.02</v>
      </c>
      <c r="C54" s="50" t="s">
        <v>241</v>
      </c>
      <c r="D54" s="227">
        <v>2300</v>
      </c>
      <c r="E54" s="51">
        <v>2200</v>
      </c>
      <c r="F54" s="52">
        <v>2900</v>
      </c>
      <c r="G54" s="304" t="s">
        <v>481</v>
      </c>
      <c r="H54" s="202">
        <v>2</v>
      </c>
      <c r="I54" s="53" t="s">
        <v>202</v>
      </c>
      <c r="J54" s="53"/>
      <c r="K54" s="53"/>
      <c r="L54" s="166"/>
      <c r="M54" s="187" t="s">
        <v>203</v>
      </c>
      <c r="N54" s="188" t="s">
        <v>213</v>
      </c>
    </row>
    <row r="55" spans="2:14" ht="15" customHeight="1">
      <c r="B55" s="91">
        <v>27.12</v>
      </c>
      <c r="C55" s="50" t="s">
        <v>242</v>
      </c>
      <c r="D55" s="227">
        <v>2300</v>
      </c>
      <c r="E55" s="51">
        <v>2200</v>
      </c>
      <c r="F55" s="52">
        <v>2900</v>
      </c>
      <c r="G55" s="304" t="s">
        <v>481</v>
      </c>
      <c r="H55" s="202">
        <v>2</v>
      </c>
      <c r="I55" s="53" t="s">
        <v>202</v>
      </c>
      <c r="J55" s="53"/>
      <c r="K55" s="53"/>
      <c r="L55" s="166"/>
      <c r="M55" s="187" t="s">
        <v>203</v>
      </c>
      <c r="N55" s="188" t="s">
        <v>213</v>
      </c>
    </row>
    <row r="56" spans="2:14" ht="15" customHeight="1">
      <c r="B56" s="90">
        <v>28</v>
      </c>
      <c r="C56" s="54" t="s">
        <v>243</v>
      </c>
      <c r="D56" s="227">
        <v>2500</v>
      </c>
      <c r="E56" s="51">
        <v>2500</v>
      </c>
      <c r="F56" s="52">
        <v>2700</v>
      </c>
      <c r="G56" s="305">
        <v>70</v>
      </c>
      <c r="H56" s="202">
        <v>1</v>
      </c>
      <c r="I56" s="53"/>
      <c r="J56" s="53" t="s">
        <v>202</v>
      </c>
      <c r="K56" s="53"/>
      <c r="L56" s="166"/>
      <c r="M56" s="187" t="s">
        <v>213</v>
      </c>
      <c r="N56" s="188" t="s">
        <v>213</v>
      </c>
    </row>
    <row r="57" spans="2:14" ht="15" customHeight="1">
      <c r="B57" s="91">
        <v>28.1</v>
      </c>
      <c r="C57" s="50" t="s">
        <v>244</v>
      </c>
      <c r="D57" s="227">
        <v>2500</v>
      </c>
      <c r="E57" s="51">
        <v>2500</v>
      </c>
      <c r="F57" s="52">
        <v>2700</v>
      </c>
      <c r="G57" s="305">
        <v>70</v>
      </c>
      <c r="H57" s="202">
        <v>1</v>
      </c>
      <c r="I57" s="53"/>
      <c r="J57" s="53" t="s">
        <v>202</v>
      </c>
      <c r="K57" s="53"/>
      <c r="L57" s="166"/>
      <c r="M57" s="187" t="s">
        <v>203</v>
      </c>
      <c r="N57" s="188" t="s">
        <v>213</v>
      </c>
    </row>
    <row r="58" spans="2:14" ht="15" customHeight="1">
      <c r="B58" s="91">
        <v>28.2</v>
      </c>
      <c r="C58" s="50" t="s">
        <v>245</v>
      </c>
      <c r="D58" s="227">
        <v>2500</v>
      </c>
      <c r="E58" s="51">
        <v>2500</v>
      </c>
      <c r="F58" s="52">
        <v>2700</v>
      </c>
      <c r="G58" s="305">
        <v>70</v>
      </c>
      <c r="H58" s="202">
        <v>1</v>
      </c>
      <c r="I58" s="53"/>
      <c r="J58" s="53" t="s">
        <v>202</v>
      </c>
      <c r="K58" s="53"/>
      <c r="L58" s="166"/>
      <c r="M58" s="187" t="s">
        <v>203</v>
      </c>
      <c r="N58" s="188" t="s">
        <v>213</v>
      </c>
    </row>
    <row r="59" spans="2:14" ht="15" customHeight="1">
      <c r="B59" s="91">
        <v>28.3</v>
      </c>
      <c r="C59" s="50" t="s">
        <v>246</v>
      </c>
      <c r="D59" s="227">
        <v>2600</v>
      </c>
      <c r="E59" s="51">
        <v>2500</v>
      </c>
      <c r="F59" s="52">
        <v>2700</v>
      </c>
      <c r="G59" s="305">
        <v>70</v>
      </c>
      <c r="H59" s="202">
        <v>1.5</v>
      </c>
      <c r="I59" s="53"/>
      <c r="J59" s="53" t="s">
        <v>202</v>
      </c>
      <c r="K59" s="53"/>
      <c r="L59" s="166"/>
      <c r="M59" s="187" t="s">
        <v>213</v>
      </c>
      <c r="N59" s="188" t="s">
        <v>213</v>
      </c>
    </row>
    <row r="60" spans="2:14" ht="15" customHeight="1">
      <c r="B60" s="91">
        <v>28.4</v>
      </c>
      <c r="C60" s="50" t="s">
        <v>247</v>
      </c>
      <c r="D60" s="227">
        <v>2600</v>
      </c>
      <c r="E60" s="51">
        <v>2500</v>
      </c>
      <c r="F60" s="52">
        <v>2700</v>
      </c>
      <c r="G60" s="305">
        <v>70</v>
      </c>
      <c r="H60" s="202">
        <v>1.7</v>
      </c>
      <c r="I60" s="53"/>
      <c r="J60" s="53" t="s">
        <v>202</v>
      </c>
      <c r="K60" s="53"/>
      <c r="L60" s="166"/>
      <c r="M60" s="187" t="s">
        <v>213</v>
      </c>
      <c r="N60" s="188" t="s">
        <v>213</v>
      </c>
    </row>
    <row r="61" spans="2:14" ht="15" customHeight="1">
      <c r="B61" s="91">
        <v>28.5</v>
      </c>
      <c r="C61" s="50" t="s">
        <v>248</v>
      </c>
      <c r="D61" s="227">
        <v>2600</v>
      </c>
      <c r="E61" s="51">
        <v>2500</v>
      </c>
      <c r="F61" s="52">
        <v>2700</v>
      </c>
      <c r="G61" s="305">
        <v>70</v>
      </c>
      <c r="H61" s="202">
        <v>1.8</v>
      </c>
      <c r="I61" s="53"/>
      <c r="J61" s="53" t="s">
        <v>202</v>
      </c>
      <c r="K61" s="53"/>
      <c r="L61" s="166"/>
      <c r="M61" s="187" t="s">
        <v>213</v>
      </c>
      <c r="N61" s="188" t="s">
        <v>213</v>
      </c>
    </row>
    <row r="62" spans="2:14" ht="15" customHeight="1">
      <c r="B62" s="91">
        <v>28.01</v>
      </c>
      <c r="C62" s="50" t="s">
        <v>249</v>
      </c>
      <c r="D62" s="227">
        <v>2500</v>
      </c>
      <c r="E62" s="51">
        <v>2500</v>
      </c>
      <c r="F62" s="52">
        <v>2700</v>
      </c>
      <c r="G62" s="304" t="s">
        <v>481</v>
      </c>
      <c r="H62" s="202">
        <v>1</v>
      </c>
      <c r="I62" s="53"/>
      <c r="J62" s="53" t="s">
        <v>202</v>
      </c>
      <c r="K62" s="53"/>
      <c r="L62" s="166"/>
      <c r="M62" s="187" t="s">
        <v>203</v>
      </c>
      <c r="N62" s="188" t="s">
        <v>213</v>
      </c>
    </row>
    <row r="63" spans="2:14" ht="15" customHeight="1">
      <c r="B63" s="91">
        <v>28.11</v>
      </c>
      <c r="C63" s="50" t="s">
        <v>250</v>
      </c>
      <c r="D63" s="227">
        <v>2500</v>
      </c>
      <c r="E63" s="51">
        <v>2500</v>
      </c>
      <c r="F63" s="52">
        <v>2700</v>
      </c>
      <c r="G63" s="304" t="s">
        <v>481</v>
      </c>
      <c r="H63" s="202">
        <v>1</v>
      </c>
      <c r="I63" s="53"/>
      <c r="J63" s="53" t="s">
        <v>202</v>
      </c>
      <c r="K63" s="53"/>
      <c r="L63" s="166"/>
      <c r="M63" s="187" t="s">
        <v>203</v>
      </c>
      <c r="N63" s="188" t="s">
        <v>213</v>
      </c>
    </row>
    <row r="64" spans="2:14" ht="15" customHeight="1">
      <c r="B64" s="91">
        <v>28.21</v>
      </c>
      <c r="C64" s="50" t="s">
        <v>251</v>
      </c>
      <c r="D64" s="227">
        <v>2600</v>
      </c>
      <c r="E64" s="51">
        <v>2500</v>
      </c>
      <c r="F64" s="52">
        <v>2700</v>
      </c>
      <c r="G64" s="304" t="s">
        <v>481</v>
      </c>
      <c r="H64" s="202">
        <v>1</v>
      </c>
      <c r="I64" s="53"/>
      <c r="J64" s="53" t="s">
        <v>202</v>
      </c>
      <c r="K64" s="53"/>
      <c r="L64" s="166"/>
      <c r="M64" s="187" t="s">
        <v>203</v>
      </c>
      <c r="N64" s="188" t="s">
        <v>213</v>
      </c>
    </row>
    <row r="65" spans="2:14" ht="15" customHeight="1">
      <c r="B65" s="91">
        <v>28.31</v>
      </c>
      <c r="C65" s="50" t="s">
        <v>252</v>
      </c>
      <c r="D65" s="227">
        <v>2600</v>
      </c>
      <c r="E65" s="51">
        <v>2500</v>
      </c>
      <c r="F65" s="52">
        <v>2700</v>
      </c>
      <c r="G65" s="304" t="s">
        <v>481</v>
      </c>
      <c r="H65" s="202">
        <v>1</v>
      </c>
      <c r="I65" s="53"/>
      <c r="J65" s="53" t="s">
        <v>202</v>
      </c>
      <c r="K65" s="53"/>
      <c r="L65" s="166"/>
      <c r="M65" s="187" t="s">
        <v>203</v>
      </c>
      <c r="N65" s="188" t="s">
        <v>213</v>
      </c>
    </row>
    <row r="66" spans="2:14" ht="15" customHeight="1">
      <c r="B66" s="91">
        <v>28.41</v>
      </c>
      <c r="C66" s="50" t="s">
        <v>253</v>
      </c>
      <c r="D66" s="227">
        <v>2600</v>
      </c>
      <c r="E66" s="51">
        <v>2500</v>
      </c>
      <c r="F66" s="52">
        <v>2700</v>
      </c>
      <c r="G66" s="304" t="s">
        <v>481</v>
      </c>
      <c r="H66" s="202">
        <v>1</v>
      </c>
      <c r="I66" s="53"/>
      <c r="J66" s="53" t="s">
        <v>202</v>
      </c>
      <c r="K66" s="53"/>
      <c r="L66" s="166"/>
      <c r="M66" s="187" t="s">
        <v>203</v>
      </c>
      <c r="N66" s="188" t="s">
        <v>213</v>
      </c>
    </row>
    <row r="67" spans="2:14" ht="15" customHeight="1">
      <c r="B67" s="91">
        <v>28.51</v>
      </c>
      <c r="C67" s="50" t="s">
        <v>254</v>
      </c>
      <c r="D67" s="227">
        <v>2600</v>
      </c>
      <c r="E67" s="51">
        <v>2500</v>
      </c>
      <c r="F67" s="52">
        <v>2700</v>
      </c>
      <c r="G67" s="304" t="s">
        <v>481</v>
      </c>
      <c r="H67" s="202">
        <v>1</v>
      </c>
      <c r="I67" s="53"/>
      <c r="J67" s="53" t="s">
        <v>202</v>
      </c>
      <c r="K67" s="53"/>
      <c r="L67" s="166"/>
      <c r="M67" s="187" t="s">
        <v>203</v>
      </c>
      <c r="N67" s="188" t="s">
        <v>213</v>
      </c>
    </row>
    <row r="68" spans="2:14" ht="15" customHeight="1">
      <c r="B68" s="91">
        <v>28.02</v>
      </c>
      <c r="C68" s="50" t="s">
        <v>255</v>
      </c>
      <c r="D68" s="227">
        <v>2500</v>
      </c>
      <c r="E68" s="51">
        <v>2500</v>
      </c>
      <c r="F68" s="52">
        <v>2700</v>
      </c>
      <c r="G68" s="304" t="s">
        <v>481</v>
      </c>
      <c r="H68" s="202">
        <v>1</v>
      </c>
      <c r="I68" s="53"/>
      <c r="J68" s="53" t="s">
        <v>202</v>
      </c>
      <c r="K68" s="53"/>
      <c r="L68" s="166"/>
      <c r="M68" s="187" t="s">
        <v>203</v>
      </c>
      <c r="N68" s="188" t="s">
        <v>213</v>
      </c>
    </row>
    <row r="69" spans="2:14" ht="15" customHeight="1">
      <c r="B69" s="91">
        <v>28.12</v>
      </c>
      <c r="C69" s="50" t="s">
        <v>256</v>
      </c>
      <c r="D69" s="227">
        <v>2500</v>
      </c>
      <c r="E69" s="51">
        <v>2500</v>
      </c>
      <c r="F69" s="52">
        <v>2700</v>
      </c>
      <c r="G69" s="304" t="s">
        <v>481</v>
      </c>
      <c r="H69" s="202">
        <v>1</v>
      </c>
      <c r="I69" s="53"/>
      <c r="J69" s="53" t="s">
        <v>202</v>
      </c>
      <c r="K69" s="53"/>
      <c r="L69" s="166"/>
      <c r="M69" s="187" t="s">
        <v>203</v>
      </c>
      <c r="N69" s="188" t="s">
        <v>213</v>
      </c>
    </row>
    <row r="70" spans="2:14" ht="15" customHeight="1">
      <c r="B70" s="91">
        <v>28.22</v>
      </c>
      <c r="C70" s="50" t="s">
        <v>257</v>
      </c>
      <c r="D70" s="227">
        <v>2600</v>
      </c>
      <c r="E70" s="51">
        <v>2500</v>
      </c>
      <c r="F70" s="52">
        <v>2700</v>
      </c>
      <c r="G70" s="304" t="s">
        <v>481</v>
      </c>
      <c r="H70" s="202">
        <v>1</v>
      </c>
      <c r="I70" s="53"/>
      <c r="J70" s="53" t="s">
        <v>202</v>
      </c>
      <c r="K70" s="53"/>
      <c r="L70" s="166"/>
      <c r="M70" s="187" t="s">
        <v>203</v>
      </c>
      <c r="N70" s="188" t="s">
        <v>213</v>
      </c>
    </row>
    <row r="71" spans="2:14" ht="15" customHeight="1">
      <c r="B71" s="91">
        <v>28.32</v>
      </c>
      <c r="C71" s="50" t="s">
        <v>258</v>
      </c>
      <c r="D71" s="227">
        <v>2600</v>
      </c>
      <c r="E71" s="51">
        <v>2500</v>
      </c>
      <c r="F71" s="52">
        <v>2700</v>
      </c>
      <c r="G71" s="304" t="s">
        <v>481</v>
      </c>
      <c r="H71" s="202">
        <v>1</v>
      </c>
      <c r="I71" s="53"/>
      <c r="J71" s="53" t="s">
        <v>202</v>
      </c>
      <c r="K71" s="53"/>
      <c r="L71" s="166"/>
      <c r="M71" s="187" t="s">
        <v>203</v>
      </c>
      <c r="N71" s="188" t="s">
        <v>213</v>
      </c>
    </row>
    <row r="72" spans="2:14" ht="15" customHeight="1">
      <c r="B72" s="91">
        <v>28.42</v>
      </c>
      <c r="C72" s="50" t="s">
        <v>259</v>
      </c>
      <c r="D72" s="227">
        <v>2600</v>
      </c>
      <c r="E72" s="51">
        <v>2500</v>
      </c>
      <c r="F72" s="52">
        <v>2700</v>
      </c>
      <c r="G72" s="304" t="s">
        <v>481</v>
      </c>
      <c r="H72" s="202">
        <v>1</v>
      </c>
      <c r="I72" s="53"/>
      <c r="J72" s="53" t="s">
        <v>202</v>
      </c>
      <c r="K72" s="53"/>
      <c r="L72" s="166"/>
      <c r="M72" s="187" t="s">
        <v>203</v>
      </c>
      <c r="N72" s="188" t="s">
        <v>213</v>
      </c>
    </row>
    <row r="73" spans="2:14" ht="15" customHeight="1">
      <c r="B73" s="91">
        <v>28.52</v>
      </c>
      <c r="C73" s="50" t="s">
        <v>260</v>
      </c>
      <c r="D73" s="227">
        <v>2600</v>
      </c>
      <c r="E73" s="51">
        <v>2500</v>
      </c>
      <c r="F73" s="52">
        <v>2700</v>
      </c>
      <c r="G73" s="304" t="s">
        <v>481</v>
      </c>
      <c r="H73" s="202">
        <v>1</v>
      </c>
      <c r="I73" s="53"/>
      <c r="J73" s="53" t="s">
        <v>202</v>
      </c>
      <c r="K73" s="53"/>
      <c r="L73" s="166"/>
      <c r="M73" s="187" t="s">
        <v>203</v>
      </c>
      <c r="N73" s="188" t="s">
        <v>213</v>
      </c>
    </row>
    <row r="74" spans="2:14" ht="15" customHeight="1">
      <c r="B74" s="90">
        <v>29</v>
      </c>
      <c r="C74" s="54" t="s">
        <v>261</v>
      </c>
      <c r="D74" s="227">
        <v>2500</v>
      </c>
      <c r="E74" s="51">
        <v>2500</v>
      </c>
      <c r="F74" s="52">
        <v>2700</v>
      </c>
      <c r="G74" s="304" t="s">
        <v>428</v>
      </c>
      <c r="H74" s="202">
        <v>1.4</v>
      </c>
      <c r="I74" s="53"/>
      <c r="J74" s="53" t="s">
        <v>202</v>
      </c>
      <c r="K74" s="53"/>
      <c r="L74" s="166"/>
      <c r="M74" s="187" t="s">
        <v>213</v>
      </c>
      <c r="N74" s="188" t="s">
        <v>213</v>
      </c>
    </row>
    <row r="75" spans="2:14" ht="15" customHeight="1">
      <c r="B75" s="89">
        <v>30</v>
      </c>
      <c r="C75" s="50" t="s">
        <v>262</v>
      </c>
      <c r="D75" s="227"/>
      <c r="E75" s="51"/>
      <c r="F75" s="52"/>
      <c r="G75" s="305"/>
      <c r="H75" s="202">
        <v>1</v>
      </c>
      <c r="I75" s="53"/>
      <c r="J75" s="53"/>
      <c r="K75" s="53"/>
      <c r="L75" s="166"/>
      <c r="M75" s="187" t="s">
        <v>203</v>
      </c>
      <c r="N75" s="188" t="s">
        <v>203</v>
      </c>
    </row>
    <row r="76" spans="2:14" ht="15" customHeight="1">
      <c r="B76" s="89">
        <v>31</v>
      </c>
      <c r="C76" s="55" t="s">
        <v>263</v>
      </c>
      <c r="D76" s="228"/>
      <c r="E76" s="56"/>
      <c r="F76" s="57"/>
      <c r="G76" s="57"/>
      <c r="H76" s="203">
        <v>1</v>
      </c>
      <c r="I76" s="53"/>
      <c r="J76" s="53"/>
      <c r="K76" s="53"/>
      <c r="L76" s="166"/>
      <c r="M76" s="187" t="s">
        <v>203</v>
      </c>
      <c r="N76" s="188" t="s">
        <v>203</v>
      </c>
    </row>
    <row r="77" spans="2:14" ht="15" customHeight="1">
      <c r="B77" s="91">
        <v>32</v>
      </c>
      <c r="C77" s="55" t="s">
        <v>264</v>
      </c>
      <c r="D77" s="228">
        <v>1900</v>
      </c>
      <c r="E77" s="56">
        <v>1800</v>
      </c>
      <c r="F77" s="57">
        <v>2300</v>
      </c>
      <c r="G77" s="304" t="s">
        <v>428</v>
      </c>
      <c r="H77" s="203">
        <v>1</v>
      </c>
      <c r="I77" s="53"/>
      <c r="J77" s="53" t="s">
        <v>202</v>
      </c>
      <c r="K77" s="53"/>
      <c r="L77" s="166"/>
      <c r="M77" s="187" t="s">
        <v>213</v>
      </c>
      <c r="N77" s="188" t="s">
        <v>213</v>
      </c>
    </row>
    <row r="78" spans="2:14" ht="15" customHeight="1">
      <c r="B78" s="89">
        <v>33</v>
      </c>
      <c r="C78" s="55" t="s">
        <v>31</v>
      </c>
      <c r="D78" s="228"/>
      <c r="E78" s="56"/>
      <c r="F78" s="57"/>
      <c r="G78" s="57"/>
      <c r="H78" s="203">
        <v>1</v>
      </c>
      <c r="I78" s="53"/>
      <c r="J78" s="53"/>
      <c r="K78" s="53"/>
      <c r="L78" s="166"/>
      <c r="M78" s="187" t="s">
        <v>203</v>
      </c>
      <c r="N78" s="188" t="s">
        <v>203</v>
      </c>
    </row>
    <row r="79" spans="2:14" ht="15" customHeight="1">
      <c r="B79" s="89">
        <v>34</v>
      </c>
      <c r="C79" s="55" t="s">
        <v>265</v>
      </c>
      <c r="D79" s="228"/>
      <c r="E79" s="56"/>
      <c r="F79" s="57"/>
      <c r="G79" s="57"/>
      <c r="H79" s="203">
        <v>1</v>
      </c>
      <c r="I79" s="53"/>
      <c r="J79" s="53"/>
      <c r="K79" s="53"/>
      <c r="L79" s="166"/>
      <c r="M79" s="187" t="s">
        <v>203</v>
      </c>
      <c r="N79" s="188" t="s">
        <v>203</v>
      </c>
    </row>
    <row r="80" spans="2:14" ht="15" customHeight="1" thickBot="1">
      <c r="B80" s="92">
        <v>56</v>
      </c>
      <c r="C80" s="58" t="s">
        <v>266</v>
      </c>
      <c r="D80" s="229"/>
      <c r="E80" s="59"/>
      <c r="F80" s="60"/>
      <c r="G80" s="60"/>
      <c r="H80" s="204">
        <v>1</v>
      </c>
      <c r="I80" s="61"/>
      <c r="J80" s="61"/>
      <c r="K80" s="61"/>
      <c r="L80" s="167"/>
      <c r="M80" s="189" t="s">
        <v>203</v>
      </c>
      <c r="N80" s="190" t="s">
        <v>203</v>
      </c>
    </row>
    <row r="81" spans="2:12" ht="12.75">
      <c r="B81" s="93"/>
      <c r="C81" s="62"/>
      <c r="D81" s="63"/>
      <c r="E81" s="63"/>
      <c r="F81" s="63"/>
      <c r="G81" s="63"/>
      <c r="H81" s="205"/>
      <c r="I81" s="64"/>
      <c r="J81" s="64"/>
      <c r="K81" s="64"/>
      <c r="L81" s="64"/>
    </row>
    <row r="82" spans="1:12" ht="16.5" thickBot="1">
      <c r="A82" s="42" t="s">
        <v>267</v>
      </c>
      <c r="C82" s="65"/>
      <c r="D82" s="66"/>
      <c r="E82" s="66"/>
      <c r="F82" s="66"/>
      <c r="G82" s="66"/>
      <c r="H82" s="206"/>
      <c r="I82" s="42"/>
      <c r="J82" s="42"/>
      <c r="K82" s="42"/>
      <c r="L82" s="42"/>
    </row>
    <row r="83" spans="2:8" ht="13.5" thickBot="1">
      <c r="B83" s="94" t="s">
        <v>191</v>
      </c>
      <c r="C83" s="67" t="s">
        <v>192</v>
      </c>
      <c r="D83" s="600" t="s">
        <v>512</v>
      </c>
      <c r="E83" s="601"/>
      <c r="F83" s="601"/>
      <c r="G83" s="602"/>
      <c r="H83" s="207"/>
    </row>
    <row r="84" spans="2:8" ht="13.5" thickTop="1">
      <c r="B84" s="95" t="s">
        <v>268</v>
      </c>
      <c r="C84" s="55" t="s">
        <v>269</v>
      </c>
      <c r="D84" s="559">
        <v>0.35</v>
      </c>
      <c r="E84" s="63"/>
      <c r="F84" s="63"/>
      <c r="G84" s="557"/>
      <c r="H84" s="205"/>
    </row>
    <row r="85" spans="2:8" ht="12.75">
      <c r="B85" s="95" t="s">
        <v>270</v>
      </c>
      <c r="C85" s="55" t="s">
        <v>504</v>
      </c>
      <c r="D85" s="558">
        <v>0.3</v>
      </c>
      <c r="E85" s="63"/>
      <c r="F85" s="63"/>
      <c r="G85" s="55"/>
      <c r="H85" s="205"/>
    </row>
    <row r="86" spans="2:8" ht="12.75">
      <c r="B86" s="95" t="s">
        <v>271</v>
      </c>
      <c r="C86" s="55" t="s">
        <v>272</v>
      </c>
      <c r="D86" s="558" t="s">
        <v>513</v>
      </c>
      <c r="E86" s="63"/>
      <c r="F86" s="63"/>
      <c r="G86" s="55"/>
      <c r="H86" s="205"/>
    </row>
    <row r="87" spans="2:8" ht="12.75">
      <c r="B87" s="95" t="s">
        <v>273</v>
      </c>
      <c r="C87" s="55" t="s">
        <v>274</v>
      </c>
      <c r="D87" s="558">
        <v>0.35</v>
      </c>
      <c r="E87" s="63"/>
      <c r="F87" s="63"/>
      <c r="G87" s="55"/>
      <c r="H87" s="205"/>
    </row>
    <row r="88" spans="2:8" ht="12.75">
      <c r="B88" s="95" t="s">
        <v>275</v>
      </c>
      <c r="C88" s="55" t="s">
        <v>503</v>
      </c>
      <c r="D88" s="558" t="s">
        <v>513</v>
      </c>
      <c r="E88" s="63"/>
      <c r="F88" s="63"/>
      <c r="G88" s="55"/>
      <c r="H88" s="205"/>
    </row>
    <row r="89" spans="2:8" ht="12.75">
      <c r="B89" s="95" t="s">
        <v>276</v>
      </c>
      <c r="C89" s="55" t="s">
        <v>277</v>
      </c>
      <c r="D89" s="558">
        <v>0.4</v>
      </c>
      <c r="E89" s="63"/>
      <c r="F89" s="63"/>
      <c r="G89" s="55"/>
      <c r="H89" s="205"/>
    </row>
    <row r="90" spans="2:8" ht="12.75">
      <c r="B90" s="95" t="s">
        <v>278</v>
      </c>
      <c r="C90" s="55" t="s">
        <v>279</v>
      </c>
      <c r="D90" s="558">
        <v>0.4</v>
      </c>
      <c r="E90" s="63"/>
      <c r="F90" s="63"/>
      <c r="G90" s="55"/>
      <c r="H90" s="205"/>
    </row>
    <row r="91" spans="2:8" ht="12.75">
      <c r="B91" s="95" t="s">
        <v>280</v>
      </c>
      <c r="C91" s="55" t="s">
        <v>281</v>
      </c>
      <c r="D91" s="558" t="s">
        <v>513</v>
      </c>
      <c r="E91" s="63"/>
      <c r="F91" s="63"/>
      <c r="G91" s="55"/>
      <c r="H91" s="205"/>
    </row>
    <row r="92" spans="2:8" ht="13.5" thickBot="1">
      <c r="B92" s="96" t="s">
        <v>282</v>
      </c>
      <c r="C92" s="58" t="s">
        <v>283</v>
      </c>
      <c r="D92" s="560" t="s">
        <v>513</v>
      </c>
      <c r="E92" s="556"/>
      <c r="F92" s="556"/>
      <c r="G92" s="58"/>
      <c r="H92" s="205"/>
    </row>
    <row r="93" spans="2:8" ht="12.75">
      <c r="B93" s="97"/>
      <c r="C93" s="62"/>
      <c r="D93" s="63"/>
      <c r="E93" s="63"/>
      <c r="F93" s="63"/>
      <c r="G93" s="63"/>
      <c r="H93" s="205"/>
    </row>
    <row r="94" spans="1:12" ht="16.5" thickBot="1">
      <c r="A94" s="42" t="s">
        <v>284</v>
      </c>
      <c r="C94" s="65"/>
      <c r="D94" s="66"/>
      <c r="E94" s="66"/>
      <c r="F94" s="66"/>
      <c r="G94" s="66"/>
      <c r="H94" s="206"/>
      <c r="I94" s="42"/>
      <c r="J94" s="42"/>
      <c r="K94" s="42"/>
      <c r="L94" s="42"/>
    </row>
    <row r="95" spans="2:3" ht="13.5" thickBot="1">
      <c r="B95" s="98" t="s">
        <v>191</v>
      </c>
      <c r="C95" s="67" t="s">
        <v>192</v>
      </c>
    </row>
    <row r="96" spans="2:3" ht="13.5" thickTop="1">
      <c r="B96" s="99">
        <v>0</v>
      </c>
      <c r="C96" s="55" t="s">
        <v>285</v>
      </c>
    </row>
    <row r="97" spans="2:3" ht="12.75">
      <c r="B97" s="99">
        <v>1</v>
      </c>
      <c r="C97" s="55" t="s">
        <v>286</v>
      </c>
    </row>
    <row r="98" spans="2:3" ht="12.75">
      <c r="B98" s="99">
        <v>2</v>
      </c>
      <c r="C98" s="55" t="s">
        <v>287</v>
      </c>
    </row>
    <row r="99" spans="2:3" ht="12.75">
      <c r="B99" s="99">
        <v>3</v>
      </c>
      <c r="C99" s="55" t="s">
        <v>288</v>
      </c>
    </row>
    <row r="100" spans="2:3" ht="12.75">
      <c r="B100" s="99">
        <v>4</v>
      </c>
      <c r="C100" s="55" t="s">
        <v>289</v>
      </c>
    </row>
    <row r="101" spans="2:3" ht="12.75">
      <c r="B101" s="99">
        <v>5</v>
      </c>
      <c r="C101" s="55" t="s">
        <v>290</v>
      </c>
    </row>
    <row r="102" spans="2:3" ht="13.5" thickBot="1">
      <c r="B102" s="100">
        <v>6</v>
      </c>
      <c r="C102" s="58" t="s">
        <v>291</v>
      </c>
    </row>
    <row r="104" spans="1:7" ht="16.5" thickBot="1">
      <c r="A104" s="42" t="s">
        <v>432</v>
      </c>
      <c r="C104" s="65"/>
      <c r="D104" s="66"/>
      <c r="E104" s="66"/>
      <c r="F104" s="66"/>
      <c r="G104" s="66"/>
    </row>
    <row r="105" spans="2:3" ht="13.5" thickBot="1">
      <c r="B105" s="98" t="s">
        <v>191</v>
      </c>
      <c r="C105" s="67" t="s">
        <v>192</v>
      </c>
    </row>
    <row r="106" spans="2:3" ht="13.5" thickTop="1">
      <c r="B106" s="306" t="s">
        <v>433</v>
      </c>
      <c r="C106" s="309" t="s">
        <v>436</v>
      </c>
    </row>
    <row r="107" spans="2:3" ht="12.75">
      <c r="B107" s="306" t="s">
        <v>280</v>
      </c>
      <c r="C107" s="309" t="s">
        <v>435</v>
      </c>
    </row>
    <row r="108" spans="2:3" ht="13.5" thickBot="1">
      <c r="B108" s="307" t="s">
        <v>434</v>
      </c>
      <c r="C108" s="308" t="s">
        <v>92</v>
      </c>
    </row>
    <row r="110" ht="15.75">
      <c r="A110" s="42" t="s">
        <v>484</v>
      </c>
    </row>
    <row r="111" ht="12.75">
      <c r="B111" s="496" t="s">
        <v>485</v>
      </c>
    </row>
    <row r="112" ht="15.75">
      <c r="B112" s="499" t="s">
        <v>492</v>
      </c>
    </row>
    <row r="113" ht="38.25">
      <c r="C113" s="497" t="s">
        <v>486</v>
      </c>
    </row>
    <row r="114" ht="38.25">
      <c r="C114" s="497" t="s">
        <v>487</v>
      </c>
    </row>
    <row r="115" ht="66.75" customHeight="1">
      <c r="C115" s="498" t="s">
        <v>489</v>
      </c>
    </row>
    <row r="116" ht="51">
      <c r="C116" s="498" t="s">
        <v>490</v>
      </c>
    </row>
    <row r="117" ht="52.5" customHeight="1">
      <c r="C117" s="498" t="s">
        <v>491</v>
      </c>
    </row>
    <row r="118" ht="25.5">
      <c r="C118" s="497" t="s">
        <v>488</v>
      </c>
    </row>
    <row r="129" ht="15.75">
      <c r="A129" s="42"/>
    </row>
    <row r="132" ht="12.75">
      <c r="C132" s="41" t="s">
        <v>493</v>
      </c>
    </row>
    <row r="136" ht="15.75">
      <c r="A136" s="42"/>
    </row>
    <row r="142" ht="12.75">
      <c r="C142" s="41" t="s">
        <v>494</v>
      </c>
    </row>
    <row r="144" ht="15.75">
      <c r="A144" s="42" t="s">
        <v>501</v>
      </c>
    </row>
    <row r="145" ht="94.5" customHeight="1">
      <c r="C145" s="311" t="s">
        <v>525</v>
      </c>
    </row>
    <row r="146" ht="105">
      <c r="C146" s="311" t="s">
        <v>502</v>
      </c>
    </row>
    <row r="148" ht="15.75">
      <c r="A148" s="42" t="s">
        <v>560</v>
      </c>
    </row>
    <row r="149" ht="30">
      <c r="C149" s="311" t="s">
        <v>561</v>
      </c>
    </row>
  </sheetData>
  <sheetProtection sheet="1" objects="1" scenarios="1"/>
  <mergeCells count="1">
    <mergeCell ref="D83:G83"/>
  </mergeCells>
  <printOptions/>
  <pageMargins left="0.7480314960629921" right="0.7480314960629921" top="0.984251968503937" bottom="0.984251968503937" header="0.5118110236220472" footer="0.5118110236220472"/>
  <pageSetup horizontalDpi="300" verticalDpi="300" orientation="portrait" paperSize="9" scale="48" r:id="rId2"/>
  <headerFooter alignWithMargins="0">
    <oddHeader>&amp;C&amp;A</oddHeader>
    <oddFooter>&amp;CPage &amp;P</oddFooter>
  </headerFooter>
  <rowBreaks count="1" manualBreakCount="1">
    <brk id="80" max="255" man="1"/>
  </rowBreaks>
  <drawing r:id="rId1"/>
</worksheet>
</file>

<file path=xl/worksheets/sheet4.xml><?xml version="1.0" encoding="utf-8"?>
<worksheet xmlns="http://schemas.openxmlformats.org/spreadsheetml/2006/main" xmlns:r="http://schemas.openxmlformats.org/officeDocument/2006/relationships">
  <sheetPr codeName="Sheet4"/>
  <dimension ref="A3:J27"/>
  <sheetViews>
    <sheetView showGridLines="0" workbookViewId="0" topLeftCell="A1">
      <selection activeCell="C7" sqref="C7"/>
    </sheetView>
  </sheetViews>
  <sheetFormatPr defaultColWidth="9.140625" defaultRowHeight="12.75"/>
  <cols>
    <col min="1" max="2" width="8.7109375" style="85" customWidth="1"/>
    <col min="3" max="3" width="9.7109375" style="85" customWidth="1"/>
    <col min="4" max="16384" width="8.7109375" style="85" customWidth="1"/>
  </cols>
  <sheetData>
    <row r="3" spans="1:8" ht="13.5" thickBot="1">
      <c r="A3" s="85" t="s">
        <v>292</v>
      </c>
      <c r="B3" s="101"/>
      <c r="C3" s="102" t="s">
        <v>528</v>
      </c>
      <c r="D3" s="102" t="s">
        <v>527</v>
      </c>
      <c r="E3" s="102" t="s">
        <v>293</v>
      </c>
      <c r="F3" s="102" t="s">
        <v>294</v>
      </c>
      <c r="G3" s="102" t="s">
        <v>295</v>
      </c>
      <c r="H3" s="102" t="s">
        <v>296</v>
      </c>
    </row>
    <row r="4" spans="2:10" ht="12.75">
      <c r="B4" s="103" t="s">
        <v>297</v>
      </c>
      <c r="C4" s="181">
        <v>0</v>
      </c>
      <c r="D4" s="181">
        <v>0</v>
      </c>
      <c r="E4" s="85">
        <v>0</v>
      </c>
      <c r="F4" s="85">
        <v>0</v>
      </c>
      <c r="G4" s="85">
        <v>0</v>
      </c>
      <c r="H4" s="85">
        <v>0</v>
      </c>
      <c r="I4" s="104" t="s">
        <v>298</v>
      </c>
      <c r="J4" s="85" t="s">
        <v>299</v>
      </c>
    </row>
    <row r="5" spans="2:10" ht="12.75">
      <c r="B5" s="103" t="s">
        <v>300</v>
      </c>
      <c r="C5" s="181">
        <v>0</v>
      </c>
      <c r="D5" s="181">
        <v>0</v>
      </c>
      <c r="E5" s="85">
        <v>0</v>
      </c>
      <c r="F5" s="85">
        <v>0</v>
      </c>
      <c r="G5" s="85">
        <v>0</v>
      </c>
      <c r="H5" s="85">
        <v>0</v>
      </c>
      <c r="I5" s="104" t="s">
        <v>51</v>
      </c>
      <c r="J5" s="85" t="s">
        <v>301</v>
      </c>
    </row>
    <row r="6" spans="2:10" ht="12.75">
      <c r="B6" s="103" t="s">
        <v>302</v>
      </c>
      <c r="C6" s="181">
        <v>3</v>
      </c>
      <c r="D6" s="181">
        <v>2</v>
      </c>
      <c r="E6" s="85">
        <v>1.5</v>
      </c>
      <c r="F6" s="85">
        <v>1.5</v>
      </c>
      <c r="G6" s="85">
        <v>1</v>
      </c>
      <c r="H6" s="85">
        <v>1</v>
      </c>
      <c r="I6" s="104" t="s">
        <v>303</v>
      </c>
      <c r="J6" s="85" t="s">
        <v>304</v>
      </c>
    </row>
    <row r="7" spans="2:10" ht="12.75">
      <c r="B7" s="103" t="s">
        <v>305</v>
      </c>
      <c r="C7" s="572">
        <v>4</v>
      </c>
      <c r="D7" s="572">
        <v>3.5</v>
      </c>
      <c r="E7" s="85">
        <v>3</v>
      </c>
      <c r="F7" s="85">
        <v>3</v>
      </c>
      <c r="G7" s="85">
        <v>2</v>
      </c>
      <c r="H7" s="85">
        <v>2</v>
      </c>
      <c r="I7" s="104" t="s">
        <v>61</v>
      </c>
      <c r="J7" s="85" t="s">
        <v>306</v>
      </c>
    </row>
    <row r="8" spans="2:8" ht="12.75">
      <c r="B8" s="103" t="s">
        <v>307</v>
      </c>
      <c r="C8" s="572">
        <v>6</v>
      </c>
      <c r="D8" s="572">
        <v>5</v>
      </c>
      <c r="E8" s="181">
        <v>4.5</v>
      </c>
      <c r="F8" s="181">
        <v>4.5</v>
      </c>
      <c r="G8" s="181">
        <v>3</v>
      </c>
      <c r="H8" s="181">
        <v>3</v>
      </c>
    </row>
    <row r="9" spans="2:8" ht="12.75">
      <c r="B9" s="105" t="s">
        <v>308</v>
      </c>
      <c r="C9" s="106">
        <v>6</v>
      </c>
      <c r="D9" s="106">
        <v>5</v>
      </c>
      <c r="E9" s="106">
        <v>4.5</v>
      </c>
      <c r="F9" s="106">
        <v>4.5</v>
      </c>
      <c r="G9" s="106">
        <v>3</v>
      </c>
      <c r="H9" s="106">
        <v>3</v>
      </c>
    </row>
    <row r="10" spans="2:8" ht="12.75">
      <c r="B10" s="103" t="s">
        <v>309</v>
      </c>
      <c r="C10" s="572">
        <v>0</v>
      </c>
      <c r="D10" s="572">
        <v>0</v>
      </c>
      <c r="E10" s="85">
        <v>0</v>
      </c>
      <c r="F10" s="85">
        <v>0</v>
      </c>
      <c r="G10" s="85">
        <v>0</v>
      </c>
      <c r="H10" s="85">
        <v>0</v>
      </c>
    </row>
    <row r="11" spans="2:8" ht="12.75">
      <c r="B11" s="103" t="s">
        <v>310</v>
      </c>
      <c r="C11" s="572">
        <v>0</v>
      </c>
      <c r="D11" s="572">
        <v>0</v>
      </c>
      <c r="E11" s="85">
        <v>0</v>
      </c>
      <c r="F11" s="85">
        <v>0</v>
      </c>
      <c r="G11" s="85">
        <v>0</v>
      </c>
      <c r="H11" s="85">
        <v>0</v>
      </c>
    </row>
    <row r="12" spans="2:8" ht="12.75">
      <c r="B12" s="103" t="s">
        <v>311</v>
      </c>
      <c r="C12" s="572">
        <v>5</v>
      </c>
      <c r="D12" s="572">
        <v>4</v>
      </c>
      <c r="E12" s="85">
        <v>3</v>
      </c>
      <c r="F12" s="85">
        <v>2</v>
      </c>
      <c r="G12" s="85">
        <v>1.5</v>
      </c>
      <c r="H12" s="85">
        <v>1.5</v>
      </c>
    </row>
    <row r="13" spans="2:8" ht="12.75">
      <c r="B13" s="103" t="s">
        <v>312</v>
      </c>
      <c r="C13" s="572">
        <v>8</v>
      </c>
      <c r="D13" s="572">
        <v>7.5</v>
      </c>
      <c r="E13" s="85">
        <v>6</v>
      </c>
      <c r="F13" s="85">
        <v>4</v>
      </c>
      <c r="G13" s="85">
        <v>3</v>
      </c>
      <c r="H13" s="85">
        <v>3</v>
      </c>
    </row>
    <row r="14" spans="2:8" ht="12.75">
      <c r="B14" s="103" t="s">
        <v>313</v>
      </c>
      <c r="C14" s="572">
        <v>12</v>
      </c>
      <c r="D14" s="572">
        <v>11</v>
      </c>
      <c r="E14" s="181">
        <v>9</v>
      </c>
      <c r="F14" s="181">
        <v>6</v>
      </c>
      <c r="G14" s="181">
        <v>4.5</v>
      </c>
      <c r="H14" s="181">
        <v>4.5</v>
      </c>
    </row>
    <row r="15" spans="2:8" ht="13.5" thickBot="1">
      <c r="B15" s="101" t="s">
        <v>314</v>
      </c>
      <c r="C15" s="102">
        <v>12</v>
      </c>
      <c r="D15" s="102">
        <v>11</v>
      </c>
      <c r="E15" s="102">
        <v>9</v>
      </c>
      <c r="F15" s="102">
        <v>6</v>
      </c>
      <c r="G15" s="102">
        <v>4.5</v>
      </c>
      <c r="H15" s="102">
        <v>4.5</v>
      </c>
    </row>
    <row r="16" spans="2:8" ht="12.75">
      <c r="B16" s="103" t="s">
        <v>315</v>
      </c>
      <c r="C16" s="572">
        <v>0</v>
      </c>
      <c r="D16" s="572">
        <v>0</v>
      </c>
      <c r="E16" s="85">
        <v>0</v>
      </c>
      <c r="F16" s="85">
        <v>0</v>
      </c>
      <c r="G16" s="85">
        <v>0</v>
      </c>
      <c r="H16" s="85">
        <v>0</v>
      </c>
    </row>
    <row r="17" spans="2:8" ht="12.75">
      <c r="B17" s="103" t="s">
        <v>316</v>
      </c>
      <c r="C17" s="572">
        <v>0</v>
      </c>
      <c r="D17" s="572">
        <v>0</v>
      </c>
      <c r="E17" s="85">
        <v>0</v>
      </c>
      <c r="F17" s="85">
        <v>0</v>
      </c>
      <c r="G17" s="85">
        <v>0</v>
      </c>
      <c r="H17" s="85">
        <v>0</v>
      </c>
    </row>
    <row r="18" spans="2:8" ht="12.75">
      <c r="B18" s="103" t="s">
        <v>317</v>
      </c>
      <c r="C18" s="572">
        <v>3</v>
      </c>
      <c r="D18" s="572">
        <v>2</v>
      </c>
      <c r="E18" s="85">
        <v>1.5</v>
      </c>
      <c r="F18" s="85">
        <v>1.5</v>
      </c>
      <c r="G18" s="85">
        <v>1</v>
      </c>
      <c r="H18" s="85">
        <v>1</v>
      </c>
    </row>
    <row r="19" spans="2:8" ht="12.75">
      <c r="B19" s="103" t="s">
        <v>318</v>
      </c>
      <c r="C19" s="572">
        <v>4</v>
      </c>
      <c r="D19" s="572">
        <v>3.5</v>
      </c>
      <c r="E19" s="85">
        <v>3</v>
      </c>
      <c r="F19" s="85">
        <v>3</v>
      </c>
      <c r="G19" s="85">
        <v>2</v>
      </c>
      <c r="H19" s="85">
        <v>2</v>
      </c>
    </row>
    <row r="20" spans="1:8" ht="12.75">
      <c r="A20" s="181"/>
      <c r="B20" s="103" t="s">
        <v>319</v>
      </c>
      <c r="C20" s="572">
        <v>6</v>
      </c>
      <c r="D20" s="572">
        <v>5</v>
      </c>
      <c r="E20" s="181">
        <v>4.5</v>
      </c>
      <c r="F20" s="181">
        <v>4.5</v>
      </c>
      <c r="G20" s="181">
        <v>3</v>
      </c>
      <c r="H20" s="181">
        <v>3</v>
      </c>
    </row>
    <row r="21" spans="2:8" ht="12.75">
      <c r="B21" s="105" t="s">
        <v>320</v>
      </c>
      <c r="C21" s="106">
        <v>6</v>
      </c>
      <c r="D21" s="106">
        <v>5</v>
      </c>
      <c r="E21" s="106">
        <v>4.5</v>
      </c>
      <c r="F21" s="106">
        <v>4.5</v>
      </c>
      <c r="G21" s="106">
        <v>3</v>
      </c>
      <c r="H21" s="106">
        <v>3</v>
      </c>
    </row>
    <row r="22" spans="2:8" ht="12.75">
      <c r="B22" s="103" t="s">
        <v>321</v>
      </c>
      <c r="C22" s="572">
        <v>0</v>
      </c>
      <c r="D22" s="572">
        <v>0</v>
      </c>
      <c r="E22" s="85">
        <v>0</v>
      </c>
      <c r="F22" s="85">
        <v>0</v>
      </c>
      <c r="G22" s="85">
        <v>0</v>
      </c>
      <c r="H22" s="85">
        <v>0</v>
      </c>
    </row>
    <row r="23" spans="2:8" ht="12.75">
      <c r="B23" s="103" t="s">
        <v>322</v>
      </c>
      <c r="C23" s="572">
        <v>0</v>
      </c>
      <c r="D23" s="572">
        <v>0</v>
      </c>
      <c r="E23" s="85">
        <v>0</v>
      </c>
      <c r="F23" s="85">
        <v>0</v>
      </c>
      <c r="G23" s="85">
        <v>0</v>
      </c>
      <c r="H23" s="85">
        <v>0</v>
      </c>
    </row>
    <row r="24" spans="2:8" ht="12.75">
      <c r="B24" s="103" t="s">
        <v>323</v>
      </c>
      <c r="C24" s="572">
        <v>4</v>
      </c>
      <c r="D24" s="572">
        <v>3.5</v>
      </c>
      <c r="E24" s="85">
        <v>2.5</v>
      </c>
      <c r="F24" s="85">
        <v>1.5</v>
      </c>
      <c r="G24" s="85">
        <v>1</v>
      </c>
      <c r="H24" s="85">
        <v>1</v>
      </c>
    </row>
    <row r="25" spans="2:8" ht="12.75">
      <c r="B25" s="103" t="s">
        <v>324</v>
      </c>
      <c r="C25" s="572">
        <v>7</v>
      </c>
      <c r="D25" s="572">
        <v>6.5</v>
      </c>
      <c r="E25" s="85">
        <v>5</v>
      </c>
      <c r="F25" s="85">
        <v>3</v>
      </c>
      <c r="G25" s="85">
        <v>2</v>
      </c>
      <c r="H25" s="85">
        <v>2</v>
      </c>
    </row>
    <row r="26" spans="2:8" ht="12.75">
      <c r="B26" s="103" t="s">
        <v>325</v>
      </c>
      <c r="C26" s="572">
        <v>10</v>
      </c>
      <c r="D26" s="572">
        <v>9.5</v>
      </c>
      <c r="E26" s="85">
        <v>7.5</v>
      </c>
      <c r="F26" s="85">
        <v>4.5</v>
      </c>
      <c r="G26" s="85">
        <v>3</v>
      </c>
      <c r="H26" s="85">
        <v>3</v>
      </c>
    </row>
    <row r="27" spans="2:8" ht="12.75">
      <c r="B27" s="103" t="s">
        <v>326</v>
      </c>
      <c r="C27" s="572">
        <v>10</v>
      </c>
      <c r="D27" s="572">
        <v>9.5</v>
      </c>
      <c r="E27" s="85">
        <v>7.5</v>
      </c>
      <c r="F27" s="85">
        <v>4.5</v>
      </c>
      <c r="G27" s="85">
        <v>3</v>
      </c>
      <c r="H27" s="85">
        <v>3</v>
      </c>
    </row>
  </sheetData>
  <printOptions/>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A3:BG70"/>
  <sheetViews>
    <sheetView workbookViewId="0" topLeftCell="A6">
      <selection activeCell="B23" sqref="B23"/>
    </sheetView>
  </sheetViews>
  <sheetFormatPr defaultColWidth="9.140625" defaultRowHeight="12.75"/>
  <cols>
    <col min="1" max="1" width="17.421875" style="220" customWidth="1"/>
  </cols>
  <sheetData>
    <row r="3" spans="7:10" ht="12.75">
      <c r="G3" s="104" t="s">
        <v>298</v>
      </c>
      <c r="H3" s="150" t="s">
        <v>327</v>
      </c>
      <c r="I3" s="85"/>
      <c r="J3" s="85"/>
    </row>
    <row r="4" spans="7:10" ht="12.75">
      <c r="G4" s="104" t="s">
        <v>51</v>
      </c>
      <c r="H4" s="217" t="s">
        <v>328</v>
      </c>
      <c r="I4" s="85"/>
      <c r="J4" s="85"/>
    </row>
    <row r="5" spans="7:10" ht="12.75">
      <c r="G5" s="104" t="s">
        <v>303</v>
      </c>
      <c r="H5" s="219" t="s">
        <v>329</v>
      </c>
      <c r="I5" s="85"/>
      <c r="J5" s="85"/>
    </row>
    <row r="6" spans="1:59" ht="12.75">
      <c r="A6" s="221"/>
      <c r="B6" s="216"/>
      <c r="C6" s="216"/>
      <c r="D6" s="216"/>
      <c r="E6" s="216"/>
      <c r="F6" s="216"/>
      <c r="G6" s="104" t="s">
        <v>61</v>
      </c>
      <c r="H6" s="219" t="s">
        <v>330</v>
      </c>
      <c r="I6" s="85"/>
      <c r="J6" s="85"/>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7"/>
      <c r="AV6" s="217"/>
      <c r="AW6" s="217"/>
      <c r="AX6" s="217"/>
      <c r="AY6" s="217"/>
      <c r="AZ6" s="217"/>
      <c r="BA6" s="217"/>
      <c r="BB6" s="217"/>
      <c r="BC6" s="217"/>
      <c r="BD6" s="217"/>
      <c r="BE6" s="217"/>
      <c r="BF6" s="217"/>
      <c r="BG6" s="217"/>
    </row>
    <row r="7" spans="1:59" ht="12.75">
      <c r="A7" s="221"/>
      <c r="B7" s="216"/>
      <c r="C7" s="216"/>
      <c r="D7" s="216"/>
      <c r="E7" s="216"/>
      <c r="F7" s="216"/>
      <c r="G7" s="104">
        <v>5</v>
      </c>
      <c r="H7" s="218" t="s">
        <v>331</v>
      </c>
      <c r="I7" s="85"/>
      <c r="J7" s="85"/>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7"/>
      <c r="AV7" s="217"/>
      <c r="AW7" s="217"/>
      <c r="AX7" s="217"/>
      <c r="AY7" s="217"/>
      <c r="AZ7" s="217"/>
      <c r="BA7" s="217"/>
      <c r="BB7" s="217"/>
      <c r="BC7" s="217"/>
      <c r="BD7" s="217"/>
      <c r="BE7" s="217"/>
      <c r="BF7" s="217"/>
      <c r="BG7" s="217"/>
    </row>
    <row r="8" spans="1:59" ht="12.75">
      <c r="A8" s="221"/>
      <c r="B8" s="216"/>
      <c r="C8" s="216"/>
      <c r="D8" s="216"/>
      <c r="E8" s="216"/>
      <c r="F8" s="216"/>
      <c r="G8" s="104">
        <v>10</v>
      </c>
      <c r="H8" s="218" t="s">
        <v>332</v>
      </c>
      <c r="I8" s="85"/>
      <c r="J8" s="85"/>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7"/>
      <c r="AV8" s="217"/>
      <c r="AW8" s="217"/>
      <c r="AX8" s="217"/>
      <c r="AY8" s="217"/>
      <c r="AZ8" s="217"/>
      <c r="BA8" s="217"/>
      <c r="BB8" s="217"/>
      <c r="BC8" s="217"/>
      <c r="BD8" s="217"/>
      <c r="BE8" s="217"/>
      <c r="BF8" s="217"/>
      <c r="BG8" s="217"/>
    </row>
    <row r="9" spans="1:59" ht="12.75">
      <c r="A9" s="221"/>
      <c r="B9" s="216"/>
      <c r="C9" s="216"/>
      <c r="D9" s="216"/>
      <c r="E9" s="216"/>
      <c r="F9" s="216"/>
      <c r="G9" s="104"/>
      <c r="H9" s="218"/>
      <c r="I9" s="85"/>
      <c r="J9" s="85"/>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7"/>
      <c r="AV9" s="217"/>
      <c r="AW9" s="217"/>
      <c r="AX9" s="217"/>
      <c r="AY9" s="217"/>
      <c r="AZ9" s="217"/>
      <c r="BA9" s="217"/>
      <c r="BB9" s="217"/>
      <c r="BC9" s="217"/>
      <c r="BD9" s="217"/>
      <c r="BE9" s="217"/>
      <c r="BF9" s="217"/>
      <c r="BG9" s="217"/>
    </row>
    <row r="10" spans="1:59" ht="12.75">
      <c r="A10" s="221"/>
      <c r="B10" s="216"/>
      <c r="C10" s="216"/>
      <c r="D10" s="216"/>
      <c r="E10" s="216"/>
      <c r="F10" s="216"/>
      <c r="G10" s="104"/>
      <c r="H10" s="218"/>
      <c r="I10" s="85"/>
      <c r="J10" s="85"/>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7"/>
      <c r="AV10" s="217"/>
      <c r="AW10" s="217"/>
      <c r="AX10" s="217"/>
      <c r="AY10" s="217"/>
      <c r="AZ10" s="217"/>
      <c r="BA10" s="217"/>
      <c r="BB10" s="217"/>
      <c r="BC10" s="217"/>
      <c r="BD10" s="217"/>
      <c r="BE10" s="217"/>
      <c r="BF10" s="217"/>
      <c r="BG10" s="217"/>
    </row>
    <row r="11" spans="1:9" ht="13.5" thickBot="1">
      <c r="A11" s="220" t="s">
        <v>333</v>
      </c>
      <c r="B11" s="102" t="s">
        <v>334</v>
      </c>
      <c r="C11" s="102" t="s">
        <v>335</v>
      </c>
      <c r="D11" s="102" t="s">
        <v>336</v>
      </c>
      <c r="E11" s="102" t="s">
        <v>337</v>
      </c>
      <c r="F11" s="102" t="s">
        <v>338</v>
      </c>
      <c r="G11" s="102" t="s">
        <v>339</v>
      </c>
      <c r="H11" s="102" t="s">
        <v>340</v>
      </c>
      <c r="I11" s="102" t="s">
        <v>341</v>
      </c>
    </row>
    <row r="12" spans="1:9" ht="12.75">
      <c r="A12" s="221" t="s">
        <v>342</v>
      </c>
      <c r="B12">
        <v>0.07419658758533142</v>
      </c>
      <c r="C12" s="216">
        <v>0.06252443977310475</v>
      </c>
      <c r="D12">
        <v>0.07705184522110271</v>
      </c>
      <c r="E12">
        <v>0.06598740187047576</v>
      </c>
      <c r="F12">
        <v>0.07306473383502941</v>
      </c>
      <c r="G12">
        <v>0.061380423486865066</v>
      </c>
      <c r="H12">
        <v>0.07542679089291413</v>
      </c>
      <c r="I12">
        <v>0.06436566871511072</v>
      </c>
    </row>
    <row r="13" spans="1:9" ht="12.75">
      <c r="A13" s="221" t="s">
        <v>343</v>
      </c>
      <c r="B13">
        <v>0.08072117986109215</v>
      </c>
      <c r="C13" s="216">
        <v>0.06808495771458875</v>
      </c>
      <c r="D13">
        <v>0.08377087085254852</v>
      </c>
      <c r="E13">
        <v>0.0718171825292669</v>
      </c>
      <c r="F13">
        <v>0.07952576042799915</v>
      </c>
      <c r="G13">
        <v>0.06687073299338998</v>
      </c>
      <c r="H13">
        <v>0.08203972231728567</v>
      </c>
      <c r="I13">
        <v>0.07008448130830265</v>
      </c>
    </row>
    <row r="14" spans="1:9" ht="12.75">
      <c r="A14" s="221" t="s">
        <v>344</v>
      </c>
      <c r="B14">
        <v>0.0880832054762285</v>
      </c>
      <c r="C14" s="216">
        <v>0.07436646375056268</v>
      </c>
      <c r="D14">
        <v>0.09134587149110227</v>
      </c>
      <c r="E14">
        <v>0.07839834983395715</v>
      </c>
      <c r="F14">
        <v>0.08682022931865957</v>
      </c>
      <c r="G14">
        <v>0.07307668565484571</v>
      </c>
      <c r="H14">
        <v>0.08949915908078646</v>
      </c>
      <c r="I14">
        <v>0.0765441646475338</v>
      </c>
    </row>
    <row r="15" spans="1:9" ht="12.75">
      <c r="A15" s="221" t="s">
        <v>345</v>
      </c>
      <c r="B15">
        <v>0.09641911322660343</v>
      </c>
      <c r="C15" s="216">
        <v>0.08148741751442184</v>
      </c>
      <c r="D15">
        <v>0.09991548515933105</v>
      </c>
      <c r="E15">
        <v>0.08585374936093845</v>
      </c>
      <c r="F15">
        <v>0.09508449478881177</v>
      </c>
      <c r="G15">
        <v>0.08011638269271681</v>
      </c>
      <c r="H15">
        <v>0.09794273105754778</v>
      </c>
      <c r="I15">
        <v>0.08386635754808068</v>
      </c>
    </row>
    <row r="16" spans="1:9" ht="12.75">
      <c r="A16" s="221" t="s">
        <v>346</v>
      </c>
      <c r="B16">
        <v>0.10589059426219415</v>
      </c>
      <c r="C16" s="216">
        <v>0.08958829320240598</v>
      </c>
      <c r="D16">
        <v>0.10964392069138837</v>
      </c>
      <c r="E16">
        <v>0.09432899353948608</v>
      </c>
      <c r="F16">
        <v>0.10448019093299958</v>
      </c>
      <c r="G16">
        <v>0.08812993017205277</v>
      </c>
      <c r="H16">
        <v>0.10753350085913979</v>
      </c>
      <c r="I16">
        <v>0.09219529492393022</v>
      </c>
    </row>
    <row r="17" spans="1:9" ht="12.75">
      <c r="A17" s="221" t="s">
        <v>347</v>
      </c>
      <c r="B17">
        <v>0.11668903208888129</v>
      </c>
      <c r="C17" s="216">
        <v>0.09883543131007205</v>
      </c>
      <c r="D17">
        <v>0.12072549419674324</v>
      </c>
      <c r="E17">
        <v>0.10399646219451598</v>
      </c>
      <c r="F17">
        <v>0.11519867099155613</v>
      </c>
      <c r="G17">
        <v>0.09728327592390988</v>
      </c>
      <c r="H17">
        <v>0.118464457229896</v>
      </c>
      <c r="I17">
        <v>0.10170176362540083</v>
      </c>
    </row>
    <row r="18" spans="1:9" ht="12.75">
      <c r="A18" s="221" t="s">
        <v>348</v>
      </c>
      <c r="B18">
        <v>0.1290402225642489</v>
      </c>
      <c r="C18" s="216">
        <v>0.10942507747566714</v>
      </c>
      <c r="D18">
        <v>0.13338948206282839</v>
      </c>
      <c r="E18">
        <v>0.11505952574457826</v>
      </c>
      <c r="F18">
        <v>0.12746568934118507</v>
      </c>
      <c r="G18">
        <v>0.10777220946075901</v>
      </c>
      <c r="H18">
        <v>0.13096329563337955</v>
      </c>
      <c r="I18">
        <v>0.1125872544552776</v>
      </c>
    </row>
    <row r="19" spans="1:9" ht="12.75">
      <c r="A19" s="221" t="s">
        <v>349</v>
      </c>
      <c r="B19">
        <v>0.14320888310126292</v>
      </c>
      <c r="C19" s="216">
        <v>0.12158714353859126</v>
      </c>
      <c r="D19">
        <v>0.14790484269563212</v>
      </c>
      <c r="E19">
        <v>0.12775653798682313</v>
      </c>
      <c r="F19">
        <v>0.1415458187637147</v>
      </c>
      <c r="G19">
        <v>0.11982603680257152</v>
      </c>
      <c r="H19">
        <v>0.14529701556137875</v>
      </c>
      <c r="I19">
        <v>0.1250878371574822</v>
      </c>
    </row>
    <row r="20" spans="1:9" ht="12.75">
      <c r="A20" s="221" t="s">
        <v>350</v>
      </c>
      <c r="B20">
        <v>0.1595019767238281</v>
      </c>
      <c r="C20" s="216">
        <v>0.13558776044592583</v>
      </c>
      <c r="D20">
        <v>0.1645838888359798</v>
      </c>
      <c r="E20">
        <v>0.1423636853975901</v>
      </c>
      <c r="F20">
        <v>0.15774558153486745</v>
      </c>
      <c r="G20">
        <v>0.13370995858892254</v>
      </c>
      <c r="H20">
        <v>0.16177537738015862</v>
      </c>
      <c r="I20">
        <v>0.1394768104779073</v>
      </c>
    </row>
    <row r="21" spans="1:9" ht="12.75">
      <c r="A21" s="221" t="s">
        <v>351</v>
      </c>
      <c r="B21">
        <v>0.17826902185826718</v>
      </c>
      <c r="C21" s="216">
        <v>0.15172888964956344</v>
      </c>
      <c r="D21">
        <v>0.18378317497937124</v>
      </c>
      <c r="E21">
        <v>0.15919498458800124</v>
      </c>
      <c r="F21">
        <v>0.1764133843803167</v>
      </c>
      <c r="G21">
        <v>0.14972434712771138</v>
      </c>
      <c r="H21">
        <v>0.1807514176673772</v>
      </c>
      <c r="I21">
        <v>0.1560643602562157</v>
      </c>
    </row>
    <row r="22" spans="1:9" ht="12.75">
      <c r="A22" s="221" t="s">
        <v>352</v>
      </c>
      <c r="B22">
        <v>0.1998961307237133</v>
      </c>
      <c r="C22" s="216">
        <v>0.17034192476774715</v>
      </c>
      <c r="D22">
        <v>0.2058984934733791</v>
      </c>
      <c r="E22">
        <v>0.1849609459890058</v>
      </c>
      <c r="F22">
        <v>0.19793286670387092</v>
      </c>
      <c r="G22">
        <v>0.1681977370213225</v>
      </c>
      <c r="H22">
        <v>0.2026158102026433</v>
      </c>
      <c r="I22">
        <v>0.17519109624071583</v>
      </c>
    </row>
    <row r="23" spans="1:9" ht="12.75">
      <c r="A23" s="221" t="s">
        <v>353</v>
      </c>
      <c r="B23">
        <v>0.2247882386241716</v>
      </c>
      <c r="C23" s="216">
        <v>0.19539022390439992</v>
      </c>
      <c r="D23">
        <v>0.2318307034190724</v>
      </c>
      <c r="E23">
        <v>0.2318307034190724</v>
      </c>
      <c r="F23">
        <v>0.2227039159221945</v>
      </c>
      <c r="G23">
        <v>0.18946816388894958</v>
      </c>
      <c r="H23">
        <v>0.22777960045996895</v>
      </c>
      <c r="I23">
        <v>0.21221665706666332</v>
      </c>
    </row>
    <row r="24" spans="1:9" ht="12.75">
      <c r="A24" s="221" t="s">
        <v>354</v>
      </c>
      <c r="B24">
        <v>0.25333057931639236</v>
      </c>
      <c r="C24" s="216">
        <v>0.2440915440218255</v>
      </c>
      <c r="D24">
        <v>0.2892520275481606</v>
      </c>
      <c r="E24">
        <v>0.2892520275481606</v>
      </c>
      <c r="F24">
        <v>0.25110210776784536</v>
      </c>
      <c r="G24">
        <v>0.22371196697470563</v>
      </c>
      <c r="H24">
        <v>0.26492012469645804</v>
      </c>
      <c r="I24">
        <v>0.26492012469645804</v>
      </c>
    </row>
    <row r="25" spans="1:9" ht="12.75">
      <c r="A25" s="221" t="s">
        <v>355</v>
      </c>
      <c r="B25">
        <v>0.3030805339999405</v>
      </c>
      <c r="C25" s="216">
        <v>0.3030805339999405</v>
      </c>
      <c r="D25">
        <v>0.3585987033991034</v>
      </c>
      <c r="E25">
        <v>0.3585987033991034</v>
      </c>
      <c r="F25">
        <v>0.2834027386412675</v>
      </c>
      <c r="G25">
        <v>0.2779787367434794</v>
      </c>
      <c r="H25">
        <v>0.3286483862285821</v>
      </c>
      <c r="I25">
        <v>0.3286483862285821</v>
      </c>
    </row>
    <row r="26" spans="1:9" ht="12.75">
      <c r="A26" s="221" t="s">
        <v>356</v>
      </c>
      <c r="B26">
        <v>0.37329998264267006</v>
      </c>
      <c r="C26" s="216">
        <v>0.37329998264267006</v>
      </c>
      <c r="D26">
        <v>0.44084621907221383</v>
      </c>
      <c r="E26">
        <v>0.44084621907221383</v>
      </c>
      <c r="F26">
        <v>0.34268800834379554</v>
      </c>
      <c r="G26">
        <v>0.34268800834379554</v>
      </c>
      <c r="H26">
        <v>0.40434934956527724</v>
      </c>
      <c r="I26">
        <v>0.40434934956527724</v>
      </c>
    </row>
    <row r="27" spans="1:9" ht="12.75">
      <c r="A27" s="221" t="s">
        <v>357</v>
      </c>
      <c r="B27">
        <v>0.45511295546507613</v>
      </c>
      <c r="C27" s="216">
        <v>0.45511295546507613</v>
      </c>
      <c r="D27">
        <v>0.5362427159090333</v>
      </c>
      <c r="E27">
        <v>0.5362427159090333</v>
      </c>
      <c r="F27">
        <v>0.4182405524551238</v>
      </c>
      <c r="G27">
        <v>0.4182405524551238</v>
      </c>
      <c r="H27">
        <v>0.49232002968469984</v>
      </c>
      <c r="I27">
        <v>0.49232002968469984</v>
      </c>
    </row>
    <row r="28" spans="1:9" ht="12.75">
      <c r="A28" s="221" t="s">
        <v>358</v>
      </c>
      <c r="B28">
        <v>0.5479909074843785</v>
      </c>
      <c r="C28" s="216">
        <v>0.5479909074843785</v>
      </c>
      <c r="D28">
        <v>0.6439515005006436</v>
      </c>
      <c r="E28">
        <v>0.6439515005006436</v>
      </c>
      <c r="F28">
        <v>0.5042315479481145</v>
      </c>
      <c r="G28">
        <v>0.5042315479481145</v>
      </c>
      <c r="H28">
        <v>0.5918742699103944</v>
      </c>
      <c r="I28">
        <v>0.5918742699103944</v>
      </c>
    </row>
    <row r="29" spans="1:9" ht="12.75">
      <c r="A29" s="221" t="s">
        <v>359</v>
      </c>
      <c r="B29">
        <v>0.6502385917291701</v>
      </c>
      <c r="C29" s="216">
        <v>0.6502385917291701</v>
      </c>
      <c r="D29">
        <v>0.7617567064524178</v>
      </c>
      <c r="E29">
        <v>0.7617567064524178</v>
      </c>
      <c r="F29">
        <v>0.5991872853179797</v>
      </c>
      <c r="G29">
        <v>0.5991872853179797</v>
      </c>
      <c r="H29">
        <v>0.7010607784623912</v>
      </c>
      <c r="I29">
        <v>0.7010607784623912</v>
      </c>
    </row>
    <row r="30" spans="1:9" ht="12.75">
      <c r="A30" s="221" t="s">
        <v>360</v>
      </c>
      <c r="B30">
        <v>0.7588606498231703</v>
      </c>
      <c r="C30" s="216">
        <v>0.7588606498231703</v>
      </c>
      <c r="D30">
        <v>0.8859590742754565</v>
      </c>
      <c r="E30">
        <v>0.8859590742754565</v>
      </c>
      <c r="F30">
        <v>0.7004231893760484</v>
      </c>
      <c r="G30">
        <v>0.7004231893760484</v>
      </c>
      <c r="H30">
        <v>0.8165468782619568</v>
      </c>
      <c r="I30">
        <v>0.8165468782619568</v>
      </c>
    </row>
    <row r="31" spans="1:9" ht="12.75">
      <c r="A31" s="221" t="s">
        <v>361</v>
      </c>
      <c r="B31">
        <v>0.8142924275075175</v>
      </c>
      <c r="C31" s="216">
        <v>0.8142924275075175</v>
      </c>
      <c r="D31">
        <v>0.9489404001187046</v>
      </c>
      <c r="E31">
        <v>0.9489404001187046</v>
      </c>
      <c r="F31">
        <v>0.7522398895044002</v>
      </c>
      <c r="G31">
        <v>0.7522398895044002</v>
      </c>
      <c r="H31">
        <v>0.8752658896178359</v>
      </c>
      <c r="I31">
        <v>0.8752658896178359</v>
      </c>
    </row>
    <row r="32" spans="1:9" ht="12.75">
      <c r="A32" s="221" t="s">
        <v>362</v>
      </c>
      <c r="B32">
        <v>0.8696757151132696</v>
      </c>
      <c r="C32" s="216">
        <v>0.8696757151132696</v>
      </c>
      <c r="D32">
        <v>1.0115797490343859</v>
      </c>
      <c r="E32">
        <v>1.0115797490343859</v>
      </c>
      <c r="F32">
        <v>0.8041224271741206</v>
      </c>
      <c r="G32">
        <v>0.8041224271741206</v>
      </c>
      <c r="H32">
        <v>0.9337790459203318</v>
      </c>
      <c r="I32">
        <v>0.9337790459203318</v>
      </c>
    </row>
    <row r="33" spans="1:9" ht="12.75">
      <c r="A33" s="221" t="s">
        <v>363</v>
      </c>
      <c r="B33">
        <v>0.9243701696971454</v>
      </c>
      <c r="C33" s="216">
        <v>0.9243701696971454</v>
      </c>
      <c r="D33">
        <v>1.073145288965591</v>
      </c>
      <c r="E33">
        <v>1.073145288965591</v>
      </c>
      <c r="F33">
        <v>0.8554746642970704</v>
      </c>
      <c r="G33">
        <v>0.8554746642970704</v>
      </c>
      <c r="H33">
        <v>0.991405413189257</v>
      </c>
      <c r="I33">
        <v>0.991405413189257</v>
      </c>
    </row>
    <row r="34" spans="1:9" ht="12.75">
      <c r="A34" s="221" t="s">
        <v>364</v>
      </c>
      <c r="B34">
        <v>0.9777266328065414</v>
      </c>
      <c r="C34" s="216">
        <v>0.9777266328065414</v>
      </c>
      <c r="D34">
        <v>1.1329086453254043</v>
      </c>
      <c r="E34">
        <v>1.1329086453254043</v>
      </c>
      <c r="F34">
        <v>0.9056870265322995</v>
      </c>
      <c r="G34">
        <v>0.9056870265322995</v>
      </c>
      <c r="H34">
        <v>1.0474619663892581</v>
      </c>
      <c r="I34">
        <v>1.0474619663892581</v>
      </c>
    </row>
    <row r="35" spans="1:9" ht="12.75">
      <c r="A35" s="221" t="s">
        <v>365</v>
      </c>
      <c r="B35">
        <v>1.0291102242637722</v>
      </c>
      <c r="C35" s="216">
        <v>1.0291102242637722</v>
      </c>
      <c r="D35">
        <v>1.1901718151337863</v>
      </c>
      <c r="E35">
        <v>1.1753268252686566</v>
      </c>
      <c r="F35">
        <v>0.9541577333608787</v>
      </c>
      <c r="G35">
        <v>0.9541577333608787</v>
      </c>
      <c r="H35">
        <v>1.1012884545955275</v>
      </c>
      <c r="I35">
        <v>1.1012884545955275</v>
      </c>
    </row>
    <row r="36" spans="1:9" ht="12.75">
      <c r="A36" s="221" t="s">
        <v>366</v>
      </c>
      <c r="B36">
        <v>1.0779223488275114</v>
      </c>
      <c r="C36" s="216">
        <v>1.0779223488275114</v>
      </c>
      <c r="D36">
        <v>1.2442917609343365</v>
      </c>
      <c r="E36">
        <v>1.209594770303636</v>
      </c>
      <c r="F36">
        <v>1.0003134255341182</v>
      </c>
      <c r="G36">
        <v>1.0003134255341182</v>
      </c>
      <c r="H36">
        <v>1.1522705325767673</v>
      </c>
      <c r="I36">
        <v>1.1522705325767673</v>
      </c>
    </row>
    <row r="37" spans="1:9" ht="12.75">
      <c r="A37" s="221" t="s">
        <v>367</v>
      </c>
      <c r="B37">
        <v>1.1236196384187962</v>
      </c>
      <c r="C37" s="216">
        <v>1.1236196384187962</v>
      </c>
      <c r="D37">
        <v>1.2947004196713081</v>
      </c>
      <c r="E37">
        <v>1.2406178664452168</v>
      </c>
      <c r="F37">
        <v>1.043627363675305</v>
      </c>
      <c r="G37">
        <v>1.043627363675305</v>
      </c>
      <c r="H37">
        <v>1.1998590483968632</v>
      </c>
      <c r="I37">
        <v>1.1998590483968632</v>
      </c>
    </row>
    <row r="38" spans="1:9" ht="12.75">
      <c r="A38" s="221" t="s">
        <v>368</v>
      </c>
      <c r="B38">
        <v>1.1657281757500502</v>
      </c>
      <c r="C38" s="216">
        <v>1.1657281757500502</v>
      </c>
      <c r="D38">
        <v>1.3244177651902658</v>
      </c>
      <c r="E38">
        <v>1.2677971956552876</v>
      </c>
      <c r="F38">
        <v>1.0836336181486006</v>
      </c>
      <c r="G38">
        <v>1.0836336181486006</v>
      </c>
      <c r="H38">
        <v>1.2435837972074506</v>
      </c>
      <c r="I38">
        <v>1.2435837972074506</v>
      </c>
    </row>
    <row r="39" spans="1:9" ht="12.75">
      <c r="A39" s="221" t="s">
        <v>369</v>
      </c>
      <c r="B39">
        <v>1.2038519151154132</v>
      </c>
      <c r="C39" s="216">
        <v>1.2038519151154132</v>
      </c>
      <c r="D39">
        <v>1.3244177651902658</v>
      </c>
      <c r="E39">
        <v>1.2905826734476136</v>
      </c>
      <c r="F39">
        <v>1.1199361514817026</v>
      </c>
      <c r="G39">
        <v>1.1199361514817026</v>
      </c>
      <c r="H39">
        <v>1.2830607244403627</v>
      </c>
      <c r="I39">
        <v>1.268549840428468</v>
      </c>
    </row>
    <row r="40" spans="1:9" ht="12.75">
      <c r="A40" s="221" t="s">
        <v>370</v>
      </c>
      <c r="B40">
        <v>1.2376749375778975</v>
      </c>
      <c r="C40" s="216">
        <v>1.2376749375778975</v>
      </c>
      <c r="D40">
        <v>1.3244177651902658</v>
      </c>
      <c r="E40">
        <v>1.3084965220041973</v>
      </c>
      <c r="F40">
        <v>1.1522123323498976</v>
      </c>
      <c r="G40">
        <v>1.1522123323498976</v>
      </c>
      <c r="H40">
        <v>1.3179923716522544</v>
      </c>
      <c r="I40">
        <v>1.2855276706042453</v>
      </c>
    </row>
    <row r="41" spans="1:9" ht="12.75">
      <c r="A41" s="221" t="s">
        <v>371</v>
      </c>
      <c r="B41">
        <v>1.2638555768255808</v>
      </c>
      <c r="C41" s="216">
        <v>1.2618497528265247</v>
      </c>
      <c r="D41">
        <v>1.3244177651902658</v>
      </c>
      <c r="E41">
        <v>1.3211535384296378</v>
      </c>
      <c r="F41">
        <v>1.1802111050071473</v>
      </c>
      <c r="G41">
        <v>1.1802111050071473</v>
      </c>
      <c r="H41">
        <v>1.346245488833115</v>
      </c>
      <c r="I41">
        <v>1.297508463771267</v>
      </c>
    </row>
    <row r="42" spans="1:9" ht="12.75">
      <c r="A42" s="221" t="s">
        <v>372</v>
      </c>
      <c r="B42">
        <v>1.2638555768255808</v>
      </c>
      <c r="C42" s="216">
        <v>1.2638555768255808</v>
      </c>
      <c r="D42">
        <v>1.3244177651902658</v>
      </c>
      <c r="E42">
        <v>1.3244177651902658</v>
      </c>
      <c r="F42">
        <v>1.203746656498472</v>
      </c>
      <c r="G42">
        <v>1.203746656498472</v>
      </c>
      <c r="H42">
        <v>1.346245488833115</v>
      </c>
      <c r="I42">
        <v>1.304245835597206</v>
      </c>
    </row>
    <row r="43" spans="1:9" ht="12.75">
      <c r="A43" s="221" t="s">
        <v>373</v>
      </c>
      <c r="B43">
        <v>1.2638555768255808</v>
      </c>
      <c r="C43" s="216">
        <v>1.2638555768255808</v>
      </c>
      <c r="D43">
        <v>1.3244177651902658</v>
      </c>
      <c r="E43">
        <v>1.3244177651902658</v>
      </c>
      <c r="F43">
        <v>1.2226888850298345</v>
      </c>
      <c r="G43">
        <v>1.2226888850298345</v>
      </c>
      <c r="H43">
        <v>1.346245488833115</v>
      </c>
      <c r="I43">
        <v>1.3056003386154629</v>
      </c>
    </row>
    <row r="44" spans="1:9" ht="12.75">
      <c r="A44" s="221" t="s">
        <v>374</v>
      </c>
      <c r="B44">
        <v>1.2638555768255808</v>
      </c>
      <c r="C44" s="216">
        <v>1.2638555768255808</v>
      </c>
      <c r="D44">
        <v>1.3244177651902658</v>
      </c>
      <c r="E44">
        <v>1.3244177651902658</v>
      </c>
      <c r="F44">
        <v>1.2369522261344257</v>
      </c>
      <c r="G44">
        <v>1.2369522261344257</v>
      </c>
      <c r="H44">
        <v>1.346245488833115</v>
      </c>
      <c r="I44">
        <v>1.3015438688008976</v>
      </c>
    </row>
    <row r="45" spans="1:9" ht="12.75">
      <c r="A45" s="221" t="s">
        <v>375</v>
      </c>
      <c r="B45">
        <v>1.2638555768255808</v>
      </c>
      <c r="C45" s="216">
        <v>1.2566822426618922</v>
      </c>
      <c r="D45">
        <v>1.3244177651902658</v>
      </c>
      <c r="E45">
        <v>1.3155021254937325</v>
      </c>
      <c r="F45">
        <v>1.2464844332453493</v>
      </c>
      <c r="G45">
        <v>1.2426013436319538</v>
      </c>
      <c r="H45">
        <v>1.346245488833115</v>
      </c>
      <c r="I45">
        <v>1.292160524902229</v>
      </c>
    </row>
    <row r="46" spans="1:9" ht="12.75">
      <c r="A46" s="221" t="s">
        <v>376</v>
      </c>
      <c r="B46">
        <v>1.2638555768255808</v>
      </c>
      <c r="C46" s="216">
        <v>1.2426534030915648</v>
      </c>
      <c r="D46">
        <v>1.3244177651902658</v>
      </c>
      <c r="E46">
        <v>1.3001750058678156</v>
      </c>
      <c r="F46">
        <v>1.2512567663853567</v>
      </c>
      <c r="G46">
        <v>1.229268548148906</v>
      </c>
      <c r="H46">
        <v>1.3371842654079626</v>
      </c>
      <c r="I46">
        <v>1.2776440075390734</v>
      </c>
    </row>
    <row r="47" spans="1:9" ht="12.75">
      <c r="A47" s="221" t="s">
        <v>377</v>
      </c>
      <c r="B47">
        <v>1.2638555768255808</v>
      </c>
      <c r="C47" s="216">
        <v>1.2239462142242137</v>
      </c>
      <c r="D47">
        <v>1.3244177651902658</v>
      </c>
      <c r="E47">
        <v>1.2797709784920712</v>
      </c>
      <c r="F47">
        <v>1.251256766385356</v>
      </c>
      <c r="G47">
        <v>1.2114620265274958</v>
      </c>
      <c r="H47">
        <v>1.3179137880511544</v>
      </c>
      <c r="I47">
        <v>1.2582913148413244</v>
      </c>
    </row>
    <row r="48" spans="1:9" ht="12.75">
      <c r="A48" s="221" t="s">
        <v>378</v>
      </c>
      <c r="B48">
        <v>1.2638555768255808</v>
      </c>
      <c r="C48" s="216">
        <v>1.2009339762429823</v>
      </c>
      <c r="D48">
        <v>1.3176116801460147</v>
      </c>
      <c r="E48">
        <v>1.25472381372892</v>
      </c>
      <c r="F48">
        <v>1.2464844332453493</v>
      </c>
      <c r="G48">
        <v>1.1895156825753512</v>
      </c>
      <c r="H48">
        <v>1.2941570902019597</v>
      </c>
      <c r="I48">
        <v>1.2344923574676998</v>
      </c>
    </row>
    <row r="49" spans="1:9" ht="12.75">
      <c r="A49" s="221" t="s">
        <v>379</v>
      </c>
      <c r="B49">
        <v>1.2485924527289403</v>
      </c>
      <c r="C49" s="216">
        <v>1.1740655923114696</v>
      </c>
      <c r="D49">
        <v>1.2882630493646978</v>
      </c>
      <c r="E49">
        <v>1.2255502114291863</v>
      </c>
      <c r="F49">
        <v>1.2349151117865016</v>
      </c>
      <c r="G49">
        <v>1.1638348363129976</v>
      </c>
      <c r="H49">
        <v>1.2663496372686347</v>
      </c>
      <c r="I49">
        <v>1.2067153366104548</v>
      </c>
    </row>
    <row r="50" spans="1:9" ht="12.75">
      <c r="A50" s="221" t="s">
        <v>380</v>
      </c>
      <c r="B50">
        <v>1.2182768656309855</v>
      </c>
      <c r="C50" s="216">
        <v>1.143848123141354</v>
      </c>
      <c r="D50">
        <v>1.2552460898031965</v>
      </c>
      <c r="E50">
        <v>1.1928277448444498</v>
      </c>
      <c r="F50">
        <v>1.2060595335016175</v>
      </c>
      <c r="G50">
        <v>1.1348820302974294</v>
      </c>
      <c r="H50">
        <v>1.2349890750301642</v>
      </c>
      <c r="I50">
        <v>1.1754882741485937</v>
      </c>
    </row>
    <row r="51" spans="1:9" ht="12.75">
      <c r="A51" s="221" t="s">
        <v>381</v>
      </c>
      <c r="B51">
        <v>1.184999819800723</v>
      </c>
      <c r="C51" s="216">
        <v>1.1108265700384896</v>
      </c>
      <c r="D51">
        <v>1.2191535154167001</v>
      </c>
      <c r="E51">
        <v>1.15717040711578</v>
      </c>
      <c r="F51">
        <v>1.17429307274148</v>
      </c>
      <c r="G51">
        <v>1.1031597402123667</v>
      </c>
      <c r="H51">
        <v>1.2006168016829186</v>
      </c>
      <c r="I51">
        <v>1.1413777597465655</v>
      </c>
    </row>
    <row r="52" spans="1:9" ht="12.75">
      <c r="A52" s="221" t="s">
        <v>382</v>
      </c>
      <c r="B52">
        <v>1.149297959677495</v>
      </c>
      <c r="C52" s="216">
        <v>1.075562415825167</v>
      </c>
      <c r="D52">
        <v>1.180596769959756</v>
      </c>
      <c r="E52">
        <v>1.1192036722093122</v>
      </c>
      <c r="F52">
        <v>1.1401092112282918</v>
      </c>
      <c r="G52">
        <v>1.069191241677113</v>
      </c>
      <c r="H52">
        <v>1.163797452260248</v>
      </c>
      <c r="I52">
        <v>1.104966531843037</v>
      </c>
    </row>
    <row r="53" spans="1:9" ht="12.75">
      <c r="A53" s="221" t="s">
        <v>383</v>
      </c>
      <c r="B53">
        <v>1.1117136373624206</v>
      </c>
      <c r="C53" s="216">
        <v>1.0386127062542525</v>
      </c>
      <c r="D53">
        <v>1.1401832651910389</v>
      </c>
      <c r="E53">
        <v>1.079541074312661</v>
      </c>
      <c r="F53">
        <v>1.1040130072838683</v>
      </c>
      <c r="G53">
        <v>1.0335012652370859</v>
      </c>
      <c r="H53">
        <v>1.1250980509540134</v>
      </c>
      <c r="I53">
        <v>1.06683174634033</v>
      </c>
    </row>
    <row r="54" spans="1:9" ht="12.75">
      <c r="A54" s="221" t="s">
        <v>384</v>
      </c>
      <c r="B54">
        <v>1.032985956098907</v>
      </c>
      <c r="C54" s="216">
        <v>0.9617538504040081</v>
      </c>
      <c r="D54">
        <v>1.056076529248033</v>
      </c>
      <c r="E54">
        <v>0.9974060750909265</v>
      </c>
      <c r="F54">
        <v>1.0280578075603244</v>
      </c>
      <c r="G54">
        <v>0.958958427742953</v>
      </c>
      <c r="H54">
        <v>1.0442257609408676</v>
      </c>
      <c r="I54">
        <v>0.9875599329066722</v>
      </c>
    </row>
    <row r="55" spans="1:9" ht="12.75">
      <c r="A55" s="221" t="s">
        <v>385</v>
      </c>
      <c r="B55">
        <v>0.9526300627970221</v>
      </c>
      <c r="C55" s="217">
        <v>0.8839985656634388</v>
      </c>
      <c r="D55">
        <v>0.970933761701466</v>
      </c>
      <c r="E55">
        <v>0.9147820145588285</v>
      </c>
      <c r="F55">
        <v>0.9500833920106081</v>
      </c>
      <c r="G55">
        <v>0.8831536470121623</v>
      </c>
      <c r="H55">
        <v>0.9619277002179124</v>
      </c>
      <c r="I55">
        <v>0.9074304158420016</v>
      </c>
    </row>
    <row r="56" spans="1:9" ht="12.75">
      <c r="A56" s="221" t="s">
        <v>386</v>
      </c>
      <c r="B56">
        <v>0.8736825431868556</v>
      </c>
      <c r="C56" s="217">
        <v>0.8082270742597376</v>
      </c>
      <c r="D56">
        <v>0.8879138799148453</v>
      </c>
      <c r="E56">
        <v>0.8346839574602827</v>
      </c>
      <c r="F56">
        <v>0.8730682523939453</v>
      </c>
      <c r="G56">
        <v>0.8089293332399187</v>
      </c>
      <c r="H56">
        <v>0.881294413782879</v>
      </c>
      <c r="I56">
        <v>0.8294051505906829</v>
      </c>
    </row>
    <row r="57" spans="1:9" ht="12.75">
      <c r="A57" s="221" t="s">
        <v>387</v>
      </c>
      <c r="B57">
        <v>0.7982972447914761</v>
      </c>
      <c r="C57" s="217">
        <v>0.7364020893311136</v>
      </c>
      <c r="D57">
        <v>0.8091760323501019</v>
      </c>
      <c r="E57">
        <v>0.7591112761236631</v>
      </c>
      <c r="F57">
        <v>0.7991776119784536</v>
      </c>
      <c r="G57">
        <v>0.7382690694792937</v>
      </c>
      <c r="H57">
        <v>0.8044892979440056</v>
      </c>
      <c r="I57">
        <v>0.7554946393940076</v>
      </c>
    </row>
    <row r="58" spans="1:9" ht="12.75">
      <c r="A58" s="221" t="s">
        <v>388</v>
      </c>
      <c r="B58">
        <v>0.7278134851127612</v>
      </c>
      <c r="C58" s="217">
        <v>0.6696793420615782</v>
      </c>
      <c r="D58">
        <v>0.7359970548880443</v>
      </c>
      <c r="E58">
        <v>0.6891955092585583</v>
      </c>
      <c r="F58">
        <v>0.7004231893760468</v>
      </c>
      <c r="G58">
        <v>0.6723799132363502</v>
      </c>
      <c r="H58">
        <v>0.7328342980196971</v>
      </c>
      <c r="I58">
        <v>0.6868761707659766</v>
      </c>
    </row>
    <row r="59" spans="1:9" ht="12.75">
      <c r="A59" s="221" t="s">
        <v>389</v>
      </c>
      <c r="B59">
        <v>0.6502385917291684</v>
      </c>
      <c r="C59" s="217">
        <v>0.6085880916706077</v>
      </c>
      <c r="D59">
        <v>0.6689669337562191</v>
      </c>
      <c r="E59">
        <v>0.6254105554901037</v>
      </c>
      <c r="F59">
        <v>0.599187285317978</v>
      </c>
      <c r="G59">
        <v>0.599187285317978</v>
      </c>
      <c r="H59">
        <v>0.6669814388267031</v>
      </c>
      <c r="I59">
        <v>0.6240824984389192</v>
      </c>
    </row>
    <row r="60" spans="1:9" ht="12.75">
      <c r="A60" s="221" t="s">
        <v>390</v>
      </c>
      <c r="B60">
        <v>0.5479909074843767</v>
      </c>
      <c r="C60" s="217">
        <v>0.5479909074843767</v>
      </c>
      <c r="D60">
        <v>0.6081912633417254</v>
      </c>
      <c r="E60">
        <v>0.5677782885640942</v>
      </c>
      <c r="F60">
        <v>0.5042315479481129</v>
      </c>
      <c r="G60">
        <v>0.5042315479481129</v>
      </c>
      <c r="H60">
        <v>0.5918742699103926</v>
      </c>
      <c r="I60">
        <v>0.567194528214124</v>
      </c>
    </row>
    <row r="61" spans="1:9" ht="12.75">
      <c r="A61" s="221" t="s">
        <v>391</v>
      </c>
      <c r="B61">
        <v>0.4551129554650744</v>
      </c>
      <c r="C61" s="217">
        <v>0.4551129554650744</v>
      </c>
      <c r="D61">
        <v>0.5362427159090312</v>
      </c>
      <c r="E61">
        <v>0.5160378550295497</v>
      </c>
      <c r="F61">
        <v>0.41824055245512237</v>
      </c>
      <c r="G61">
        <v>0.41824055245512237</v>
      </c>
      <c r="H61">
        <v>0.49232002968469807</v>
      </c>
      <c r="I61">
        <v>0.49232002968469807</v>
      </c>
    </row>
    <row r="62" spans="1:9" ht="12.75">
      <c r="A62" s="221" t="s">
        <v>392</v>
      </c>
      <c r="B62">
        <v>0.37329998264266856</v>
      </c>
      <c r="C62" s="217">
        <v>0.37329998264266856</v>
      </c>
      <c r="D62">
        <v>0.440846219072212</v>
      </c>
      <c r="E62">
        <v>0.440846219072212</v>
      </c>
      <c r="F62">
        <v>0.3426880083437941</v>
      </c>
      <c r="G62">
        <v>0.3426880083437941</v>
      </c>
      <c r="H62">
        <v>0.40434934956527546</v>
      </c>
      <c r="I62">
        <v>0.40434934956527546</v>
      </c>
    </row>
    <row r="63" spans="1:9" ht="12.75">
      <c r="A63" s="221" t="s">
        <v>393</v>
      </c>
      <c r="B63">
        <v>0.30308053399993923</v>
      </c>
      <c r="C63" s="217">
        <v>0.30308053399993923</v>
      </c>
      <c r="D63">
        <v>0.3585987033991015</v>
      </c>
      <c r="E63">
        <v>0.3585987033991015</v>
      </c>
      <c r="F63">
        <v>0.277978736743478</v>
      </c>
      <c r="G63">
        <v>0.277978736743478</v>
      </c>
      <c r="H63">
        <v>0.32864838622858056</v>
      </c>
      <c r="I63">
        <v>0.32864838622858056</v>
      </c>
    </row>
    <row r="64" spans="1:9" ht="12.75">
      <c r="A64" s="221" t="s">
        <v>394</v>
      </c>
      <c r="B64">
        <v>0.24409154402182442</v>
      </c>
      <c r="C64" s="217">
        <v>0.24409154402182442</v>
      </c>
      <c r="D64">
        <v>0.2892520275481595</v>
      </c>
      <c r="E64">
        <v>0.2892520275481595</v>
      </c>
      <c r="F64">
        <v>0.2237119669747048</v>
      </c>
      <c r="G64">
        <v>0.2237119669747048</v>
      </c>
      <c r="H64">
        <v>0.26492012469645715</v>
      </c>
      <c r="I64">
        <v>0.26492012469645715</v>
      </c>
    </row>
    <row r="65" spans="1:9" ht="12.75">
      <c r="A65" s="221" t="s">
        <v>395</v>
      </c>
      <c r="B65">
        <v>0.19539022390439906</v>
      </c>
      <c r="C65" s="217">
        <v>0.19539022390439906</v>
      </c>
      <c r="D65">
        <v>0.23183070341907122</v>
      </c>
      <c r="E65">
        <v>0.23183070341907122</v>
      </c>
      <c r="F65">
        <v>0.17897114964572158</v>
      </c>
      <c r="G65">
        <v>0.17897114964572158</v>
      </c>
      <c r="H65">
        <v>0.21221665706666243</v>
      </c>
      <c r="I65">
        <v>0.21221665706666243</v>
      </c>
    </row>
    <row r="66" spans="1:9" ht="12.75">
      <c r="A66" s="221" t="s">
        <v>396</v>
      </c>
      <c r="B66">
        <v>0.15573123503107528</v>
      </c>
      <c r="C66" s="217">
        <v>0.15573123503107528</v>
      </c>
      <c r="D66">
        <v>0.18496094598900487</v>
      </c>
      <c r="E66">
        <v>0.18496094598900487</v>
      </c>
      <c r="F66">
        <v>0.14257741182787195</v>
      </c>
      <c r="G66">
        <v>0.14257741182787195</v>
      </c>
      <c r="H66">
        <v>0.16924047052312022</v>
      </c>
      <c r="I66">
        <v>0.16924047052312022</v>
      </c>
    </row>
    <row r="67" spans="1:9" ht="12.75">
      <c r="A67" s="221" t="s">
        <v>397</v>
      </c>
      <c r="B67">
        <v>0.12377631493131981</v>
      </c>
      <c r="C67" s="217">
        <v>0.12377631493131981</v>
      </c>
      <c r="D67">
        <v>0.14712578203627885</v>
      </c>
      <c r="E67">
        <v>0.14712578203627885</v>
      </c>
      <c r="F67">
        <v>0.11327900358433024</v>
      </c>
      <c r="G67">
        <v>0.11327900358433024</v>
      </c>
      <c r="H67">
        <v>0.13457560296075638</v>
      </c>
      <c r="I67">
        <v>0.13457560296075638</v>
      </c>
    </row>
    <row r="68" spans="1:9" ht="12.75">
      <c r="A68" s="221" t="s">
        <v>398</v>
      </c>
      <c r="B68">
        <v>0.09823229209933815</v>
      </c>
      <c r="C68" s="217">
        <v>0.09823229209933815</v>
      </c>
      <c r="D68">
        <v>0.11683689478006601</v>
      </c>
      <c r="E68">
        <v>0.11683689478006601</v>
      </c>
      <c r="F68">
        <v>0.08987463274780595</v>
      </c>
      <c r="G68">
        <v>0.08987463274780595</v>
      </c>
      <c r="H68">
        <v>0.10684187923197597</v>
      </c>
      <c r="I68">
        <v>0.10684187923197597</v>
      </c>
    </row>
    <row r="69" spans="1:9" ht="12.75">
      <c r="A69" s="221" t="s">
        <v>399</v>
      </c>
      <c r="B69">
        <v>0.07792888123320924</v>
      </c>
      <c r="C69" s="217">
        <v>0.07792888123320924</v>
      </c>
      <c r="D69">
        <v>0.09273434097386431</v>
      </c>
      <c r="E69">
        <v>0.09273434097386431</v>
      </c>
      <c r="F69">
        <v>0.07128195422834924</v>
      </c>
      <c r="G69">
        <v>0.07128195422834924</v>
      </c>
      <c r="H69">
        <v>0.08478335593345632</v>
      </c>
      <c r="I69">
        <v>0.08478335593345632</v>
      </c>
    </row>
    <row r="70" spans="1:9" ht="12.75">
      <c r="A70" s="221" t="s">
        <v>400</v>
      </c>
      <c r="B70">
        <v>0.061852702578802626</v>
      </c>
      <c r="C70" s="217">
        <v>0.061852702578802626</v>
      </c>
      <c r="D70">
        <v>0.07363276404487971</v>
      </c>
      <c r="E70">
        <v>0.07363276404487971</v>
      </c>
      <c r="F70">
        <v>0.05656656974456508</v>
      </c>
      <c r="G70">
        <v>0.05656656974456508</v>
      </c>
      <c r="H70">
        <v>0.0673083773172369</v>
      </c>
      <c r="I70">
        <v>0.0673083773172369</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AW7"/>
  <sheetViews>
    <sheetView zoomScale="75" zoomScaleNormal="75" workbookViewId="0" topLeftCell="A1">
      <selection activeCell="A1" sqref="A1"/>
    </sheetView>
  </sheetViews>
  <sheetFormatPr defaultColWidth="9.140625" defaultRowHeight="12.75"/>
  <cols>
    <col min="2" max="2" width="20.57421875" style="0" customWidth="1"/>
    <col min="11" max="11" width="11.8515625" style="0" customWidth="1"/>
    <col min="44" max="45" width="12.57421875" style="0" customWidth="1"/>
    <col min="46" max="46" width="14.7109375" style="0" customWidth="1"/>
    <col min="47" max="47" width="18.28125" style="0" customWidth="1"/>
  </cols>
  <sheetData>
    <row r="1" spans="1:10" ht="12.75">
      <c r="A1" s="561" t="s">
        <v>514</v>
      </c>
      <c r="B1" t="s">
        <v>403</v>
      </c>
      <c r="I1" s="561" t="s">
        <v>517</v>
      </c>
      <c r="J1" t="s">
        <v>520</v>
      </c>
    </row>
    <row r="2" spans="1:10" ht="12.75">
      <c r="A2" s="561" t="s">
        <v>515</v>
      </c>
      <c r="B2" t="s">
        <v>523</v>
      </c>
      <c r="I2" s="561" t="s">
        <v>518</v>
      </c>
      <c r="J2" t="s">
        <v>521</v>
      </c>
    </row>
    <row r="3" spans="1:10" ht="13.5" thickBot="1">
      <c r="A3" s="561" t="s">
        <v>516</v>
      </c>
      <c r="B3" t="s">
        <v>404</v>
      </c>
      <c r="I3" s="561" t="s">
        <v>519</v>
      </c>
      <c r="J3" t="s">
        <v>522</v>
      </c>
    </row>
    <row r="4" spans="1:49" ht="13.5" thickBot="1">
      <c r="A4" s="38" t="s">
        <v>3</v>
      </c>
      <c r="B4" s="1"/>
      <c r="C4" s="2"/>
      <c r="D4" s="3"/>
      <c r="E4" s="86" t="s">
        <v>4</v>
      </c>
      <c r="F4" s="114" t="s">
        <v>5</v>
      </c>
      <c r="G4" s="71" t="s">
        <v>6</v>
      </c>
      <c r="H4" s="8" t="s">
        <v>7</v>
      </c>
      <c r="I4" s="8" t="s">
        <v>7</v>
      </c>
      <c r="J4" s="117" t="s">
        <v>8</v>
      </c>
      <c r="K4" s="68"/>
      <c r="L4" s="109" t="s">
        <v>9</v>
      </c>
      <c r="M4" s="222" t="s">
        <v>10</v>
      </c>
      <c r="N4" s="222"/>
      <c r="O4" s="223"/>
      <c r="P4" s="168" t="s">
        <v>11</v>
      </c>
      <c r="Q4" s="169"/>
      <c r="R4" s="169"/>
      <c r="S4" s="170"/>
      <c r="T4" s="170"/>
      <c r="U4" s="171"/>
      <c r="V4" s="172"/>
      <c r="W4" s="172"/>
      <c r="X4" s="172"/>
      <c r="Y4" s="214"/>
      <c r="Z4" s="172"/>
      <c r="AA4" s="176"/>
      <c r="AB4" s="173" t="s">
        <v>12</v>
      </c>
      <c r="AC4" s="174"/>
      <c r="AD4" s="174"/>
      <c r="AE4" s="175"/>
      <c r="AF4" s="176"/>
      <c r="AG4" s="173" t="s">
        <v>13</v>
      </c>
      <c r="AH4" s="174"/>
      <c r="AI4" s="174"/>
      <c r="AJ4" s="175"/>
      <c r="AK4" s="124" t="s">
        <v>14</v>
      </c>
      <c r="AL4" s="173" t="s">
        <v>15</v>
      </c>
      <c r="AM4" s="196"/>
      <c r="AN4" s="197"/>
      <c r="AO4" s="21" t="s">
        <v>16</v>
      </c>
      <c r="AP4" s="31"/>
      <c r="AQ4" s="31"/>
      <c r="AR4" s="177" t="s">
        <v>17</v>
      </c>
      <c r="AS4" s="178"/>
      <c r="AT4" s="179"/>
      <c r="AU4" s="128" t="s">
        <v>18</v>
      </c>
      <c r="AV4" s="16"/>
      <c r="AW4" s="70"/>
    </row>
    <row r="5" spans="1:49" ht="12.75">
      <c r="A5" s="39" t="s">
        <v>38</v>
      </c>
      <c r="B5" s="4" t="s">
        <v>39</v>
      </c>
      <c r="C5" s="212" t="s">
        <v>40</v>
      </c>
      <c r="D5" s="213"/>
      <c r="E5" s="39" t="s">
        <v>41</v>
      </c>
      <c r="F5" s="115" t="s">
        <v>42</v>
      </c>
      <c r="G5" s="72" t="s">
        <v>43</v>
      </c>
      <c r="H5" s="9" t="s">
        <v>44</v>
      </c>
      <c r="I5" s="9" t="s">
        <v>45</v>
      </c>
      <c r="J5" s="118" t="s">
        <v>46</v>
      </c>
      <c r="K5" s="119" t="s">
        <v>47</v>
      </c>
      <c r="L5" s="34" t="s">
        <v>48</v>
      </c>
      <c r="M5" s="12" t="s">
        <v>9</v>
      </c>
      <c r="N5" s="12" t="s">
        <v>49</v>
      </c>
      <c r="O5" s="12" t="s">
        <v>7</v>
      </c>
      <c r="P5" s="69" t="s">
        <v>50</v>
      </c>
      <c r="Q5" s="18" t="s">
        <v>51</v>
      </c>
      <c r="R5" s="18" t="s">
        <v>52</v>
      </c>
      <c r="S5" s="28" t="s">
        <v>53</v>
      </c>
      <c r="T5" s="28" t="s">
        <v>54</v>
      </c>
      <c r="U5" s="30" t="s">
        <v>55</v>
      </c>
      <c r="V5" s="18" t="s">
        <v>56</v>
      </c>
      <c r="W5" s="210" t="s">
        <v>57</v>
      </c>
      <c r="X5" s="211"/>
      <c r="Y5" s="215" t="s">
        <v>58</v>
      </c>
      <c r="Z5" s="18" t="s">
        <v>59</v>
      </c>
      <c r="AA5" s="193" t="s">
        <v>60</v>
      </c>
      <c r="AB5" s="18" t="s">
        <v>61</v>
      </c>
      <c r="AC5" s="33" t="s">
        <v>62</v>
      </c>
      <c r="AD5" s="33" t="s">
        <v>63</v>
      </c>
      <c r="AE5" s="4" t="s">
        <v>64</v>
      </c>
      <c r="AF5" s="22" t="s">
        <v>59</v>
      </c>
      <c r="AG5" s="23" t="s">
        <v>61</v>
      </c>
      <c r="AH5" s="33" t="s">
        <v>62</v>
      </c>
      <c r="AI5" s="111" t="s">
        <v>63</v>
      </c>
      <c r="AJ5" s="4" t="s">
        <v>64</v>
      </c>
      <c r="AK5" s="125" t="s">
        <v>65</v>
      </c>
      <c r="AL5" s="10" t="s">
        <v>61</v>
      </c>
      <c r="AM5" s="34" t="s">
        <v>63</v>
      </c>
      <c r="AN5" s="34" t="s">
        <v>66</v>
      </c>
      <c r="AO5" s="10" t="s">
        <v>62</v>
      </c>
      <c r="AP5" s="34" t="s">
        <v>63</v>
      </c>
      <c r="AQ5" s="34" t="s">
        <v>66</v>
      </c>
      <c r="AR5" s="127" t="s">
        <v>67</v>
      </c>
      <c r="AS5" s="112" t="s">
        <v>68</v>
      </c>
      <c r="AT5" s="121" t="s">
        <v>69</v>
      </c>
      <c r="AU5" s="129"/>
      <c r="AV5" s="35" t="s">
        <v>70</v>
      </c>
      <c r="AW5" s="35" t="s">
        <v>71</v>
      </c>
    </row>
    <row r="6" spans="1:49" ht="12.75">
      <c r="A6" s="39" t="s">
        <v>104</v>
      </c>
      <c r="B6" s="4"/>
      <c r="C6" s="5"/>
      <c r="D6" s="6"/>
      <c r="E6" s="39"/>
      <c r="F6" s="115" t="s">
        <v>41</v>
      </c>
      <c r="G6" s="39"/>
      <c r="H6" s="9" t="s">
        <v>105</v>
      </c>
      <c r="I6" s="9" t="s">
        <v>105</v>
      </c>
      <c r="J6" s="4"/>
      <c r="K6" s="23" t="s">
        <v>106</v>
      </c>
      <c r="L6" s="110"/>
      <c r="M6" s="11" t="s">
        <v>44</v>
      </c>
      <c r="N6" s="11" t="s">
        <v>107</v>
      </c>
      <c r="O6" s="11" t="s">
        <v>108</v>
      </c>
      <c r="P6" s="10"/>
      <c r="Q6" s="4"/>
      <c r="R6" s="4"/>
      <c r="S6" s="33"/>
      <c r="T6" s="33" t="s">
        <v>109</v>
      </c>
      <c r="U6" s="17" t="s">
        <v>110</v>
      </c>
      <c r="V6" s="4" t="s">
        <v>111</v>
      </c>
      <c r="W6" s="4" t="s">
        <v>62</v>
      </c>
      <c r="X6" s="4" t="s">
        <v>112</v>
      </c>
      <c r="Y6" s="4" t="s">
        <v>113</v>
      </c>
      <c r="Z6" s="4"/>
      <c r="AA6" s="194" t="s">
        <v>114</v>
      </c>
      <c r="AB6" s="4"/>
      <c r="AC6" s="33"/>
      <c r="AD6" s="33"/>
      <c r="AE6" s="4" t="s">
        <v>115</v>
      </c>
      <c r="AF6" s="22"/>
      <c r="AG6" s="23"/>
      <c r="AH6" s="33"/>
      <c r="AI6" s="111"/>
      <c r="AJ6" s="4" t="s">
        <v>115</v>
      </c>
      <c r="AK6" s="125"/>
      <c r="AL6" s="10"/>
      <c r="AM6" s="34"/>
      <c r="AN6" s="34"/>
      <c r="AO6" s="10"/>
      <c r="AP6" s="34"/>
      <c r="AQ6" s="34"/>
      <c r="AR6" s="310" t="s">
        <v>116</v>
      </c>
      <c r="AS6" s="113" t="s">
        <v>117</v>
      </c>
      <c r="AT6" s="122" t="s">
        <v>118</v>
      </c>
      <c r="AU6" s="129" t="s">
        <v>1</v>
      </c>
      <c r="AV6" s="36" t="s">
        <v>119</v>
      </c>
      <c r="AW6" s="36" t="s">
        <v>120</v>
      </c>
    </row>
    <row r="7" spans="1:49" ht="13.5" thickBot="1">
      <c r="A7" s="20"/>
      <c r="B7" s="7"/>
      <c r="C7" s="13" t="s">
        <v>139</v>
      </c>
      <c r="D7" s="13" t="s">
        <v>140</v>
      </c>
      <c r="E7" s="20"/>
      <c r="F7" s="116"/>
      <c r="G7" s="19" t="s">
        <v>141</v>
      </c>
      <c r="H7" s="14" t="s">
        <v>142</v>
      </c>
      <c r="I7" s="14" t="s">
        <v>142</v>
      </c>
      <c r="J7" s="7"/>
      <c r="K7" s="25" t="s">
        <v>143</v>
      </c>
      <c r="L7" s="120" t="s">
        <v>144</v>
      </c>
      <c r="M7" s="13" t="s">
        <v>48</v>
      </c>
      <c r="N7" s="13" t="s">
        <v>129</v>
      </c>
      <c r="O7" s="13" t="s">
        <v>142</v>
      </c>
      <c r="P7" s="15" t="s">
        <v>129</v>
      </c>
      <c r="Q7" s="7" t="s">
        <v>129</v>
      </c>
      <c r="R7" s="7" t="s">
        <v>129</v>
      </c>
      <c r="S7" s="29" t="s">
        <v>130</v>
      </c>
      <c r="T7" s="29" t="s">
        <v>131</v>
      </c>
      <c r="U7" s="19" t="s">
        <v>132</v>
      </c>
      <c r="V7" s="7" t="s">
        <v>134</v>
      </c>
      <c r="W7" s="7" t="s">
        <v>130</v>
      </c>
      <c r="X7" s="7" t="s">
        <v>133</v>
      </c>
      <c r="Y7" s="7" t="s">
        <v>145</v>
      </c>
      <c r="Z7" s="7" t="s">
        <v>134</v>
      </c>
      <c r="AA7" s="195" t="s">
        <v>134</v>
      </c>
      <c r="AB7" s="7" t="s">
        <v>129</v>
      </c>
      <c r="AC7" s="29" t="s">
        <v>130</v>
      </c>
      <c r="AD7" s="29" t="s">
        <v>130</v>
      </c>
      <c r="AE7" s="7" t="s">
        <v>133</v>
      </c>
      <c r="AF7" s="24" t="s">
        <v>145</v>
      </c>
      <c r="AG7" s="25" t="s">
        <v>129</v>
      </c>
      <c r="AH7" s="29" t="s">
        <v>130</v>
      </c>
      <c r="AI7" s="29" t="s">
        <v>130</v>
      </c>
      <c r="AJ7" s="7" t="s">
        <v>133</v>
      </c>
      <c r="AK7" s="126" t="s">
        <v>130</v>
      </c>
      <c r="AL7" s="15" t="s">
        <v>129</v>
      </c>
      <c r="AM7" s="32" t="s">
        <v>130</v>
      </c>
      <c r="AN7" s="32" t="s">
        <v>130</v>
      </c>
      <c r="AO7" s="15" t="s">
        <v>130</v>
      </c>
      <c r="AP7" s="32" t="s">
        <v>130</v>
      </c>
      <c r="AQ7" s="32" t="s">
        <v>130</v>
      </c>
      <c r="AR7" s="27" t="s">
        <v>145</v>
      </c>
      <c r="AS7" s="26" t="s">
        <v>145</v>
      </c>
      <c r="AT7" s="123" t="s">
        <v>145</v>
      </c>
      <c r="AU7" s="130" t="s">
        <v>1</v>
      </c>
      <c r="AV7" s="131" t="s">
        <v>146</v>
      </c>
      <c r="AW7" s="37" t="s">
        <v>147</v>
      </c>
    </row>
  </sheetData>
  <printOptions headings="1"/>
  <pageMargins left="0.75" right="0.75" top="1" bottom="1" header="0.5" footer="0.5"/>
  <pageSetup horizontalDpi="600" verticalDpi="600" orientation="landscape" paperSize="9" scale="60" r:id="rId1"/>
  <headerFooter alignWithMargins="0">
    <oddHeader>&amp;CSTEENTOETS 4.02, werkblad Steentoets 3.3</oddHeader>
    <oddFooter>&amp;L&amp;F&amp;C&amp;P&amp;R&amp;D; &amp;T</oddFooter>
  </headerFooter>
</worksheet>
</file>

<file path=xl/worksheets/sheet7.xml><?xml version="1.0" encoding="utf-8"?>
<worksheet xmlns="http://schemas.openxmlformats.org/spreadsheetml/2006/main" xmlns:r="http://schemas.openxmlformats.org/officeDocument/2006/relationships">
  <sheetPr codeName="Sheet7"/>
  <dimension ref="A1:I57"/>
  <sheetViews>
    <sheetView workbookViewId="0" topLeftCell="A1">
      <selection activeCell="A17" sqref="A17"/>
    </sheetView>
  </sheetViews>
  <sheetFormatPr defaultColWidth="9.140625" defaultRowHeight="12.75"/>
  <cols>
    <col min="1" max="1" width="4.421875" style="0" customWidth="1"/>
    <col min="2" max="2" width="103.57421875" style="0" customWidth="1"/>
    <col min="3" max="3" width="128.00390625" style="318" customWidth="1"/>
    <col min="9" max="9" width="119.8515625" style="0" customWidth="1"/>
  </cols>
  <sheetData>
    <row r="1" ht="19.5">
      <c r="A1" s="302" t="s">
        <v>556</v>
      </c>
    </row>
    <row r="2" ht="45">
      <c r="B2" s="311" t="s">
        <v>445</v>
      </c>
    </row>
    <row r="3" ht="15">
      <c r="B3" s="311"/>
    </row>
    <row r="4" spans="1:3" s="317" customFormat="1" ht="15.75">
      <c r="A4" s="317" t="s">
        <v>402</v>
      </c>
      <c r="B4" s="317" t="s">
        <v>443</v>
      </c>
      <c r="C4" s="319" t="s">
        <v>444</v>
      </c>
    </row>
    <row r="5" spans="1:3" ht="15" customHeight="1">
      <c r="A5">
        <v>1</v>
      </c>
      <c r="B5" s="315" t="s">
        <v>454</v>
      </c>
      <c r="C5" s="311" t="s">
        <v>551</v>
      </c>
    </row>
    <row r="6" spans="2:3" ht="30">
      <c r="B6" s="311" t="s">
        <v>552</v>
      </c>
      <c r="C6" s="312"/>
    </row>
    <row r="7" spans="2:3" ht="15">
      <c r="B7" s="312" t="s">
        <v>548</v>
      </c>
      <c r="C7" s="312"/>
    </row>
    <row r="8" ht="16.5">
      <c r="B8" s="312" t="s">
        <v>549</v>
      </c>
    </row>
    <row r="9" ht="16.5">
      <c r="B9" s="312" t="s">
        <v>446</v>
      </c>
    </row>
    <row r="10" ht="16.5">
      <c r="B10" s="312" t="s">
        <v>447</v>
      </c>
    </row>
    <row r="11" ht="15">
      <c r="B11" s="312" t="s">
        <v>448</v>
      </c>
    </row>
    <row r="12" ht="15">
      <c r="B12" s="311" t="s">
        <v>449</v>
      </c>
    </row>
    <row r="13" ht="30">
      <c r="B13" s="313" t="s">
        <v>450</v>
      </c>
    </row>
    <row r="14" ht="15">
      <c r="B14" s="313"/>
    </row>
    <row r="15" spans="1:3" ht="15" customHeight="1">
      <c r="A15">
        <v>2</v>
      </c>
      <c r="B15" s="315" t="s">
        <v>451</v>
      </c>
      <c r="C15" s="311" t="s">
        <v>551</v>
      </c>
    </row>
    <row r="16" ht="30">
      <c r="B16" s="311" t="s">
        <v>557</v>
      </c>
    </row>
    <row r="17" ht="90">
      <c r="B17" s="311" t="s">
        <v>550</v>
      </c>
    </row>
    <row r="19" spans="1:3" ht="15" customHeight="1">
      <c r="A19">
        <v>3</v>
      </c>
      <c r="B19" s="314" t="s">
        <v>453</v>
      </c>
      <c r="C19" s="311" t="s">
        <v>551</v>
      </c>
    </row>
    <row r="20" ht="45">
      <c r="B20" s="311" t="s">
        <v>452</v>
      </c>
    </row>
    <row r="22" spans="1:3" ht="15" customHeight="1">
      <c r="A22">
        <v>4</v>
      </c>
      <c r="B22" s="314" t="s">
        <v>457</v>
      </c>
      <c r="C22" s="311" t="s">
        <v>551</v>
      </c>
    </row>
    <row r="23" ht="30">
      <c r="B23" s="311" t="s">
        <v>456</v>
      </c>
    </row>
    <row r="24" ht="60">
      <c r="B24" s="311" t="s">
        <v>461</v>
      </c>
    </row>
    <row r="25" ht="46.5">
      <c r="B25" s="312" t="s">
        <v>458</v>
      </c>
    </row>
    <row r="26" ht="30">
      <c r="B26" s="312" t="s">
        <v>459</v>
      </c>
    </row>
    <row r="27" spans="2:3" ht="45">
      <c r="B27" s="312" t="s">
        <v>460</v>
      </c>
      <c r="C27" s="316"/>
    </row>
    <row r="28" spans="2:3" ht="15">
      <c r="B28" s="538" t="s">
        <v>455</v>
      </c>
      <c r="C28" s="538"/>
    </row>
    <row r="29" spans="2:3" ht="15">
      <c r="B29" s="538"/>
      <c r="C29" s="538"/>
    </row>
    <row r="30" spans="1:3" ht="15">
      <c r="A30">
        <v>5</v>
      </c>
      <c r="B30" s="539" t="s">
        <v>499</v>
      </c>
      <c r="C30" s="538"/>
    </row>
    <row r="31" spans="2:9" ht="45" customHeight="1">
      <c r="B31" s="311" t="s">
        <v>500</v>
      </c>
      <c r="C31" s="311" t="s">
        <v>551</v>
      </c>
      <c r="I31" s="311" t="s">
        <v>510</v>
      </c>
    </row>
    <row r="32" spans="2:9" ht="15" customHeight="1">
      <c r="B32" s="538"/>
      <c r="C32" s="538"/>
      <c r="I32" s="311" t="s">
        <v>511</v>
      </c>
    </row>
    <row r="33" spans="1:9" ht="15" customHeight="1">
      <c r="A33">
        <v>6</v>
      </c>
      <c r="B33" s="539" t="s">
        <v>555</v>
      </c>
      <c r="C33" s="538"/>
      <c r="I33" s="311" t="s">
        <v>526</v>
      </c>
    </row>
    <row r="34" spans="2:3" ht="45" customHeight="1">
      <c r="B34" s="311" t="s">
        <v>558</v>
      </c>
      <c r="C34" s="538" t="s">
        <v>559</v>
      </c>
    </row>
    <row r="35" spans="2:3" ht="15">
      <c r="B35" s="538"/>
      <c r="C35" s="538"/>
    </row>
    <row r="36" spans="2:3" ht="15">
      <c r="B36" s="538"/>
      <c r="C36" s="538"/>
    </row>
    <row r="37" spans="2:3" ht="15">
      <c r="B37" s="538"/>
      <c r="C37" s="538"/>
    </row>
    <row r="38" spans="2:3" ht="15">
      <c r="B38" s="538"/>
      <c r="C38" s="538"/>
    </row>
    <row r="39" spans="2:3" ht="15">
      <c r="B39" s="538"/>
      <c r="C39" s="538"/>
    </row>
    <row r="40" spans="2:3" ht="15">
      <c r="B40" s="538"/>
      <c r="C40" s="538"/>
    </row>
    <row r="41" spans="2:3" ht="15">
      <c r="B41" s="538"/>
      <c r="C41" s="538"/>
    </row>
    <row r="42" spans="2:3" ht="15">
      <c r="B42" s="538"/>
      <c r="C42" s="538"/>
    </row>
    <row r="43" spans="2:3" ht="15">
      <c r="B43" s="538"/>
      <c r="C43" s="538"/>
    </row>
    <row r="44" spans="2:3" ht="15">
      <c r="B44" s="538"/>
      <c r="C44" s="538"/>
    </row>
    <row r="45" spans="2:3" ht="15">
      <c r="B45" s="538"/>
      <c r="C45" s="538"/>
    </row>
    <row r="46" spans="2:3" ht="15">
      <c r="B46" s="538"/>
      <c r="C46" s="538"/>
    </row>
    <row r="47" spans="2:3" ht="15">
      <c r="B47" s="538"/>
      <c r="C47" s="538"/>
    </row>
    <row r="48" spans="2:3" ht="15">
      <c r="B48" s="538"/>
      <c r="C48" s="538"/>
    </row>
    <row r="49" spans="2:3" ht="15">
      <c r="B49" s="538"/>
      <c r="C49" s="538"/>
    </row>
    <row r="50" spans="2:3" ht="15">
      <c r="B50" s="538"/>
      <c r="C50" s="538"/>
    </row>
    <row r="51" spans="2:3" ht="15">
      <c r="B51" s="538"/>
      <c r="C51" s="538"/>
    </row>
    <row r="52" spans="2:3" ht="15">
      <c r="B52" s="538"/>
      <c r="C52" s="538"/>
    </row>
    <row r="53" spans="2:3" ht="15">
      <c r="B53" s="538"/>
      <c r="C53" s="538"/>
    </row>
    <row r="54" spans="2:3" ht="15">
      <c r="B54" s="538"/>
      <c r="C54" s="538"/>
    </row>
    <row r="55" spans="2:3" ht="15">
      <c r="B55" s="538"/>
      <c r="C55" s="538"/>
    </row>
    <row r="56" spans="2:3" ht="15">
      <c r="B56" s="538"/>
      <c r="C56" s="538"/>
    </row>
    <row r="57" spans="2:3" ht="15">
      <c r="B57" s="538"/>
      <c r="C57" s="538"/>
    </row>
  </sheetData>
  <printOptions/>
  <pageMargins left="0.75" right="0.75" top="1" bottom="1" header="0.5" footer="0.5"/>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codeName="Sheet10"/>
  <dimension ref="A1:A1"/>
  <sheetViews>
    <sheetView workbookViewId="0" topLeftCell="A1">
      <selection activeCell="A2" sqref="A2"/>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A1"/>
  <sheetViews>
    <sheetView workbookViewId="0" topLeftCell="A1">
      <selection activeCell="B23" sqref="B23"/>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Mark KleinBreteler</cp:lastModifiedBy>
  <cp:lastPrinted>2005-04-15T12:36:25Z</cp:lastPrinted>
  <dcterms:created xsi:type="dcterms:W3CDTF">1998-03-20T10:36:55Z</dcterms:created>
  <dcterms:modified xsi:type="dcterms:W3CDTF">2005-04-18T07:36:18Z</dcterms:modified>
  <cp:category/>
  <cp:version/>
  <cp:contentType/>
  <cp:contentStatus/>
</cp:coreProperties>
</file>